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hafane Thobejane\Documents\Fee Docs\Fee related enquiries\15% VAT rate\2015\"/>
    </mc:Choice>
  </mc:AlternateContent>
  <bookViews>
    <workbookView xWindow="0" yWindow="0" windowWidth="23040" windowHeight="10632" activeTab="1"/>
  </bookViews>
  <sheets>
    <sheet name="Notes" sheetId="1" r:id="rId1"/>
    <sheet name="Input Data" sheetId="12" r:id="rId2"/>
    <sheet name="Worked Example" sheetId="15" r:id="rId3"/>
    <sheet name="Invoice Engineering Project" sheetId="14" r:id="rId4"/>
    <sheet name="Invoice Multidiscipl Project " sheetId="13" r:id="rId5"/>
    <sheet name="Scales" sheetId="5" r:id="rId6"/>
    <sheet name="Previous Claims" sheetId="6" r:id="rId7"/>
    <sheet name="Time Based" sheetId="9" r:id="rId8"/>
    <sheet name="Trip Sheet" sheetId="16" r:id="rId9"/>
    <sheet name="Subsistance &amp; Travelling" sheetId="7" r:id="rId10"/>
    <sheet name="Typing, Duplicating, &amp; Printing" sheetId="8" r:id="rId11"/>
    <sheet name="Summary A3" sheetId="17" r:id="rId12"/>
    <sheet name="Site staff &amp; Other" sheetId="10" r:id="rId13"/>
    <sheet name="Non Taxable" sheetId="11" r:id="rId14"/>
  </sheets>
  <definedNames>
    <definedName name="_xlnm.Print_Area" localSheetId="1">'Input Data'!$A$1:$H$55</definedName>
    <definedName name="_xlnm.Print_Area" localSheetId="3">'Invoice Engineering Project'!$A$1:$O$95</definedName>
    <definedName name="_xlnm.Print_Area" localSheetId="4">'Invoice Multidiscipl Project '!$A$1:$O$108</definedName>
    <definedName name="_xlnm.Print_Area" localSheetId="0">Notes!$A$1:$B$81</definedName>
    <definedName name="_xlnm.Print_Area" localSheetId="12">'Site staff &amp; Other'!$A$1:$I$66</definedName>
    <definedName name="_xlnm.Print_Area" localSheetId="9">'Subsistance &amp; Travelling'!$A$1:$O$61</definedName>
    <definedName name="_xlnm.Print_Area" localSheetId="7">'Time Based'!$A$1:$I$57</definedName>
    <definedName name="_xlnm.Print_Area" localSheetId="10">'Typing, Duplicating, &amp; Printing'!$A$1:$J$67</definedName>
    <definedName name="_xlnm.Print_Area" localSheetId="2">'Worked Example'!$A$1:$H$54</definedName>
    <definedName name="_xlnm.Print_Titles" localSheetId="3">'Invoice Engineering Project'!$1:$6</definedName>
    <definedName name="_xlnm.Print_Titles" localSheetId="4">'Invoice Multidiscipl Project '!$1:$6</definedName>
    <definedName name="SCALE_MB">Scales!$B$13:$E$20</definedName>
    <definedName name="SCALE_ME">Scales!$B$3:$E$9</definedName>
  </definedNames>
  <calcPr calcId="152511"/>
</workbook>
</file>

<file path=xl/calcChain.xml><?xml version="1.0" encoding="utf-8"?>
<calcChain xmlns="http://schemas.openxmlformats.org/spreadsheetml/2006/main">
  <c r="M43" i="16" l="1"/>
  <c r="M7" i="6" l="1"/>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9" i="6"/>
  <c r="M40" i="6"/>
  <c r="M41"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M38" i="6" s="1"/>
  <c r="K39" i="6"/>
  <c r="K40" i="6"/>
  <c r="K41" i="6"/>
  <c r="K6" i="6"/>
  <c r="M6" i="6" s="1"/>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5"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6" i="6"/>
  <c r="E6" i="6" s="1"/>
  <c r="C5" i="6"/>
  <c r="O1" i="6"/>
  <c r="H61" i="13" l="1"/>
  <c r="H72" i="14"/>
  <c r="G52" i="14" l="1"/>
  <c r="C59" i="14" l="1"/>
  <c r="G53" i="15"/>
  <c r="F32" i="15"/>
  <c r="H53" i="15" s="1"/>
  <c r="H44" i="15" l="1"/>
  <c r="H51" i="15"/>
  <c r="H54" i="15"/>
  <c r="H52" i="15"/>
  <c r="H43" i="15"/>
  <c r="H45" i="15"/>
  <c r="H48" i="15" s="1"/>
  <c r="H42" i="15"/>
  <c r="F32" i="12" l="1"/>
  <c r="I104" i="13" l="1"/>
  <c r="G59" i="14"/>
  <c r="I44" i="14"/>
  <c r="K52" i="14"/>
  <c r="K51" i="14"/>
  <c r="I47" i="14"/>
  <c r="I101" i="13"/>
  <c r="G40" i="14"/>
  <c r="H53" i="12"/>
  <c r="H45" i="12"/>
  <c r="G39" i="14"/>
  <c r="H52" i="12"/>
  <c r="H44" i="12"/>
  <c r="E42" i="12"/>
  <c r="H49" i="12"/>
  <c r="H55" i="12"/>
  <c r="H46" i="12"/>
  <c r="H43" i="12"/>
  <c r="K7" i="5"/>
  <c r="K6" i="5"/>
  <c r="K5" i="5"/>
  <c r="I7" i="5"/>
  <c r="I6" i="5"/>
  <c r="I5" i="5"/>
  <c r="G51" i="14" l="1"/>
  <c r="G48" i="12"/>
  <c r="L5" i="5"/>
  <c r="L6" i="5" s="1"/>
  <c r="L7" i="5" s="1"/>
  <c r="I29" i="14" s="1"/>
  <c r="I32" i="14"/>
  <c r="I90" i="13"/>
  <c r="O52" i="7"/>
  <c r="O51" i="7"/>
  <c r="O50" i="7"/>
  <c r="O49" i="7"/>
  <c r="O48" i="7"/>
  <c r="O47" i="7"/>
  <c r="O46" i="7"/>
  <c r="O45" i="7"/>
  <c r="O44" i="7"/>
  <c r="O43" i="7"/>
  <c r="I96" i="13" l="1"/>
  <c r="I93" i="13"/>
  <c r="K39" i="14"/>
  <c r="I87" i="13"/>
  <c r="I35" i="14"/>
  <c r="I26" i="14"/>
  <c r="K40" i="14"/>
  <c r="E3" i="10"/>
  <c r="H80" i="13" l="1"/>
  <c r="H3" i="11" l="1"/>
  <c r="D3" i="11"/>
  <c r="J18" i="11"/>
  <c r="J20" i="11" s="1"/>
  <c r="L20" i="17" l="1"/>
  <c r="C35" i="15"/>
  <c r="A1" i="15"/>
  <c r="O60" i="16"/>
  <c r="N44" i="16"/>
  <c r="H43" i="16"/>
  <c r="O43" i="16" s="1"/>
  <c r="O45" i="16" s="1"/>
  <c r="J36" i="16"/>
  <c r="M36" i="16" s="1"/>
  <c r="O36" i="16" s="1"/>
  <c r="O37" i="16" s="1"/>
  <c r="F36" i="16"/>
  <c r="F35" i="16"/>
  <c r="F34" i="16"/>
  <c r="F33" i="16"/>
  <c r="O16" i="16"/>
  <c r="F37" i="16" l="1"/>
  <c r="O61" i="16" s="1"/>
  <c r="L12" i="17"/>
  <c r="J15" i="17"/>
  <c r="E15" i="17"/>
  <c r="J13" i="17"/>
  <c r="E13" i="17"/>
  <c r="E12" i="17"/>
  <c r="E11" i="17"/>
  <c r="F9" i="17"/>
  <c r="E6" i="17"/>
  <c r="L4" i="17"/>
  <c r="F54" i="17" s="1"/>
  <c r="G4" i="17"/>
  <c r="J28" i="17"/>
  <c r="J25" i="17"/>
  <c r="J3" i="7" l="1"/>
  <c r="D3" i="7"/>
  <c r="I62" i="10" l="1"/>
  <c r="I61" i="10"/>
  <c r="I60" i="10"/>
  <c r="I59" i="10"/>
  <c r="I58" i="10"/>
  <c r="I57" i="10"/>
  <c r="I56" i="10"/>
  <c r="I55" i="10"/>
  <c r="I54" i="10"/>
  <c r="I53" i="10"/>
  <c r="I49" i="10"/>
  <c r="I45" i="10"/>
  <c r="I44" i="10"/>
  <c r="I43" i="10"/>
  <c r="I42" i="10"/>
  <c r="I41" i="10"/>
  <c r="I40" i="10"/>
  <c r="I39" i="10"/>
  <c r="I38" i="10"/>
  <c r="I37" i="10"/>
  <c r="I36" i="10"/>
  <c r="I30" i="10"/>
  <c r="I29" i="10"/>
  <c r="I28" i="10"/>
  <c r="I27" i="10"/>
  <c r="I26" i="10"/>
  <c r="I25" i="10"/>
  <c r="I24" i="10"/>
  <c r="I23" i="10"/>
  <c r="I22" i="10"/>
  <c r="I21" i="10"/>
  <c r="I15" i="10"/>
  <c r="I14" i="10"/>
  <c r="I13" i="10"/>
  <c r="I12" i="10"/>
  <c r="I11" i="10"/>
  <c r="I10" i="10"/>
  <c r="I9" i="10"/>
  <c r="I8" i="10"/>
  <c r="I7" i="10"/>
  <c r="I6" i="10"/>
  <c r="J67" i="8"/>
  <c r="J62" i="8"/>
  <c r="J61" i="8"/>
  <c r="J60" i="8"/>
  <c r="J59" i="8"/>
  <c r="J58" i="8"/>
  <c r="J57" i="8"/>
  <c r="J56" i="8"/>
  <c r="J55" i="8"/>
  <c r="J54" i="8"/>
  <c r="J53" i="8"/>
  <c r="J47" i="8"/>
  <c r="J46" i="8"/>
  <c r="J45" i="8"/>
  <c r="J44" i="8"/>
  <c r="J43" i="8"/>
  <c r="J42" i="8"/>
  <c r="J41" i="8"/>
  <c r="J40" i="8"/>
  <c r="J39" i="8"/>
  <c r="J38" i="8"/>
  <c r="J32" i="8"/>
  <c r="J31" i="8"/>
  <c r="J30" i="8"/>
  <c r="J29" i="8"/>
  <c r="J28" i="8"/>
  <c r="J27" i="8"/>
  <c r="J26" i="8"/>
  <c r="J25" i="8"/>
  <c r="J24" i="8"/>
  <c r="J23" i="8"/>
  <c r="J17" i="8"/>
  <c r="J16" i="8"/>
  <c r="J15" i="8"/>
  <c r="J14" i="8"/>
  <c r="J13" i="8"/>
  <c r="J12" i="8"/>
  <c r="J11" i="8"/>
  <c r="J10" i="8"/>
  <c r="J9" i="8"/>
  <c r="J8" i="8"/>
  <c r="J33" i="8" l="1"/>
  <c r="I16" i="10"/>
  <c r="I31" i="10"/>
  <c r="J18" i="8"/>
  <c r="J63" i="8"/>
  <c r="I63" i="10"/>
  <c r="O56" i="13" s="1"/>
  <c r="I46" i="10"/>
  <c r="I66" i="10"/>
  <c r="H91" i="14" s="1"/>
  <c r="J48" i="8"/>
  <c r="G80" i="13"/>
  <c r="G91" i="14"/>
  <c r="I48" i="10"/>
  <c r="O67" i="14" l="1"/>
  <c r="H45" i="17"/>
  <c r="J66" i="8"/>
  <c r="H36" i="17" s="1"/>
  <c r="J36" i="17" s="1"/>
  <c r="I65" i="10"/>
  <c r="O66" i="14"/>
  <c r="O55" i="13"/>
  <c r="H81" i="13" s="1"/>
  <c r="H43" i="17"/>
  <c r="J43" i="17" s="1"/>
  <c r="J45" i="17"/>
  <c r="O83" i="7"/>
  <c r="O68" i="7"/>
  <c r="O53" i="7"/>
  <c r="O36" i="7"/>
  <c r="L32" i="7"/>
  <c r="L31" i="7"/>
  <c r="L30" i="7"/>
  <c r="L29" i="7"/>
  <c r="L28" i="7"/>
  <c r="L27" i="7"/>
  <c r="L26" i="7"/>
  <c r="L25" i="7"/>
  <c r="L24" i="7"/>
  <c r="L23" i="7"/>
  <c r="O54" i="13" l="1"/>
  <c r="G81" i="13" s="1"/>
  <c r="H47" i="17"/>
  <c r="J47" i="17"/>
  <c r="L47" i="17" s="1"/>
  <c r="O87" i="7"/>
  <c r="E80" i="13" l="1"/>
  <c r="E91" i="14"/>
  <c r="E10" i="12" l="1"/>
  <c r="A49" i="1"/>
  <c r="A51" i="1" s="1"/>
  <c r="A53" i="1" s="1"/>
  <c r="A55" i="1" s="1"/>
  <c r="A57" i="1" s="1"/>
  <c r="A59" i="1" s="1"/>
  <c r="A61" i="1" s="1"/>
  <c r="A63" i="1" s="1"/>
  <c r="E21" i="12"/>
  <c r="E4" i="12"/>
  <c r="E4" i="15" s="1"/>
  <c r="E96" i="13"/>
  <c r="H39" i="12"/>
  <c r="H39" i="15" s="1"/>
  <c r="A22" i="15"/>
  <c r="D21" i="15"/>
  <c r="O51" i="13"/>
  <c r="K81" i="13" s="1"/>
  <c r="K82" i="13" s="1"/>
  <c r="G11" i="15"/>
  <c r="E11" i="15"/>
  <c r="I52" i="14"/>
  <c r="M108" i="13"/>
  <c r="M45" i="13" s="1"/>
  <c r="M56" i="14"/>
  <c r="I39" i="14"/>
  <c r="I40" i="14"/>
  <c r="I51" i="14"/>
  <c r="E59" i="14"/>
  <c r="G11" i="12"/>
  <c r="E11" i="12"/>
  <c r="H5" i="15"/>
  <c r="M91" i="14"/>
  <c r="M2" i="6"/>
  <c r="G6" i="6" s="1"/>
  <c r="F42" i="6"/>
  <c r="N5" i="6" s="1"/>
  <c r="N42" i="6" s="1"/>
  <c r="H49" i="17"/>
  <c r="J49" i="17" s="1"/>
  <c r="L49" i="17" s="1"/>
  <c r="L55" i="17" s="1"/>
  <c r="D42" i="6"/>
  <c r="L5" i="6" s="1"/>
  <c r="L42" i="6" s="1"/>
  <c r="M80" i="13"/>
  <c r="K25" i="13"/>
  <c r="O4" i="13"/>
  <c r="O4" i="14"/>
  <c r="J4" i="14"/>
  <c r="N83" i="13"/>
  <c r="N94" i="14"/>
  <c r="I27" i="9"/>
  <c r="I28" i="9"/>
  <c r="I29" i="9"/>
  <c r="I30" i="9"/>
  <c r="I31" i="9"/>
  <c r="I32" i="9"/>
  <c r="I33" i="9"/>
  <c r="I34" i="9"/>
  <c r="I35" i="9"/>
  <c r="I36" i="9"/>
  <c r="I61" i="9"/>
  <c r="I62" i="9"/>
  <c r="I63" i="9"/>
  <c r="I64" i="9"/>
  <c r="I65" i="9"/>
  <c r="I66" i="9"/>
  <c r="I67" i="9"/>
  <c r="I68" i="9"/>
  <c r="I69" i="9"/>
  <c r="I70" i="9"/>
  <c r="I71" i="9"/>
  <c r="I72" i="9"/>
  <c r="I73" i="9"/>
  <c r="I74" i="9"/>
  <c r="I42" i="9"/>
  <c r="I43" i="9"/>
  <c r="I44" i="9"/>
  <c r="I45" i="9"/>
  <c r="I46" i="9"/>
  <c r="I47" i="9"/>
  <c r="I48" i="9"/>
  <c r="I49" i="9"/>
  <c r="I50" i="9"/>
  <c r="I51" i="9"/>
  <c r="I52" i="9"/>
  <c r="I53" i="9"/>
  <c r="I54" i="9"/>
  <c r="I55" i="9"/>
  <c r="I78" i="9"/>
  <c r="C91" i="14" s="1"/>
  <c r="E18" i="12"/>
  <c r="C16" i="14" s="1"/>
  <c r="H5" i="13"/>
  <c r="H5" i="14"/>
  <c r="E47" i="12"/>
  <c r="B14" i="13"/>
  <c r="B15" i="13"/>
  <c r="E3" i="9"/>
  <c r="D3" i="8"/>
  <c r="E2" i="6"/>
  <c r="G54" i="12"/>
  <c r="H54" i="12" s="1"/>
  <c r="E19" i="12"/>
  <c r="I11" i="9"/>
  <c r="I12" i="9"/>
  <c r="I13" i="9"/>
  <c r="I14" i="9"/>
  <c r="I15" i="9"/>
  <c r="I16" i="9"/>
  <c r="I17" i="9"/>
  <c r="I18" i="9"/>
  <c r="I19" i="9"/>
  <c r="I20" i="9"/>
  <c r="I21" i="9"/>
  <c r="N13" i="14"/>
  <c r="C19" i="14"/>
  <c r="A25" i="13"/>
  <c r="C19" i="13"/>
  <c r="N13" i="13"/>
  <c r="J4" i="13"/>
  <c r="H36" i="12"/>
  <c r="G3" i="8"/>
  <c r="B21" i="14"/>
  <c r="B21" i="13"/>
  <c r="G3" i="10"/>
  <c r="G3" i="9"/>
  <c r="G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I7" i="6"/>
  <c r="I8" i="6" s="1"/>
  <c r="I9" i="6" s="1"/>
  <c r="I10" i="6" s="1"/>
  <c r="I11" i="6" s="1"/>
  <c r="I12" i="6" s="1"/>
  <c r="I13" i="6" s="1"/>
  <c r="I14" i="6" s="1"/>
  <c r="I15" i="6" s="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39" i="6" s="1"/>
  <c r="I40" i="6" s="1"/>
  <c r="I41" i="6" s="1"/>
  <c r="O2" i="14"/>
  <c r="N5" i="14"/>
  <c r="B5" i="14"/>
  <c r="B6" i="14"/>
  <c r="B7" i="14"/>
  <c r="J7" i="14"/>
  <c r="B8" i="14"/>
  <c r="H8" i="14"/>
  <c r="N8" i="14"/>
  <c r="B9" i="14"/>
  <c r="I9" i="14"/>
  <c r="O9" i="14"/>
  <c r="B10" i="14"/>
  <c r="I10" i="14"/>
  <c r="L10" i="14"/>
  <c r="O10" i="14"/>
  <c r="B11" i="14"/>
  <c r="E11" i="14"/>
  <c r="I11" i="14"/>
  <c r="L11" i="14"/>
  <c r="B13" i="14"/>
  <c r="B14" i="14"/>
  <c r="O14" i="14"/>
  <c r="B15" i="14"/>
  <c r="O15" i="14"/>
  <c r="C17" i="14"/>
  <c r="M17" i="14"/>
  <c r="C18" i="14"/>
  <c r="M18" i="14"/>
  <c r="M19" i="14"/>
  <c r="L20" i="14"/>
  <c r="O2" i="13"/>
  <c r="N5" i="13"/>
  <c r="B5" i="13"/>
  <c r="B6" i="13"/>
  <c r="B7" i="13"/>
  <c r="J7" i="13"/>
  <c r="B8" i="13"/>
  <c r="J8" i="13"/>
  <c r="O8" i="13"/>
  <c r="B9" i="13"/>
  <c r="I9" i="13"/>
  <c r="O9" i="13"/>
  <c r="B10" i="13"/>
  <c r="I10" i="13"/>
  <c r="L10" i="13"/>
  <c r="O10" i="13"/>
  <c r="B11" i="13"/>
  <c r="E11" i="13"/>
  <c r="I11" i="13"/>
  <c r="L11" i="13"/>
  <c r="B13" i="13"/>
  <c r="O14" i="13"/>
  <c r="O15" i="13"/>
  <c r="C17" i="13"/>
  <c r="M17" i="13"/>
  <c r="C18" i="13"/>
  <c r="M18" i="13"/>
  <c r="M19" i="13"/>
  <c r="L20" i="13"/>
  <c r="F47" i="12"/>
  <c r="G47" i="12"/>
  <c r="C80" i="13"/>
  <c r="K101" i="13" l="1"/>
  <c r="K104" i="13"/>
  <c r="D26" i="12"/>
  <c r="C20" i="13" s="1"/>
  <c r="C16" i="13"/>
  <c r="O19" i="6"/>
  <c r="C32" i="12"/>
  <c r="C33" i="12"/>
  <c r="G96" i="13"/>
  <c r="K2" i="14"/>
  <c r="K2" i="13"/>
  <c r="O65" i="14"/>
  <c r="G92" i="14" s="1"/>
  <c r="G93" i="14" s="1"/>
  <c r="H92" i="14"/>
  <c r="O73" i="14"/>
  <c r="M92" i="14" s="1"/>
  <c r="M93" i="14" s="1"/>
  <c r="K35" i="14"/>
  <c r="O62" i="14"/>
  <c r="K92" i="14" s="1"/>
  <c r="K93" i="14" s="1"/>
  <c r="O62" i="13"/>
  <c r="M81" i="13" s="1"/>
  <c r="M82" i="13" s="1"/>
  <c r="I56" i="9"/>
  <c r="I75" i="9"/>
  <c r="I37" i="9"/>
  <c r="O47" i="13" s="1"/>
  <c r="I22" i="9"/>
  <c r="H23" i="17" s="1"/>
  <c r="J23" i="17" s="1"/>
  <c r="E35" i="14"/>
  <c r="G36" i="6"/>
  <c r="G35" i="14"/>
  <c r="E35" i="13"/>
  <c r="K96" i="13"/>
  <c r="A21" i="13"/>
  <c r="A21" i="14"/>
  <c r="O27" i="6"/>
  <c r="G12" i="6"/>
  <c r="O11" i="6"/>
  <c r="G28" i="6"/>
  <c r="O35" i="6"/>
  <c r="G20" i="6"/>
  <c r="O39" i="6"/>
  <c r="O31" i="6"/>
  <c r="O23" i="6"/>
  <c r="O15" i="6"/>
  <c r="O7" i="6"/>
  <c r="G40" i="6"/>
  <c r="G32" i="6"/>
  <c r="G24" i="6"/>
  <c r="G16" i="6"/>
  <c r="O37" i="6"/>
  <c r="O29" i="6"/>
  <c r="O21" i="6"/>
  <c r="O13" i="6"/>
  <c r="G37" i="6"/>
  <c r="G29" i="6"/>
  <c r="G21" i="6"/>
  <c r="G13" i="6"/>
  <c r="G5" i="6"/>
  <c r="O41" i="6"/>
  <c r="O33" i="6"/>
  <c r="O25" i="6"/>
  <c r="O17" i="6"/>
  <c r="O9" i="6"/>
  <c r="G41" i="6"/>
  <c r="G33" i="6"/>
  <c r="G25" i="6"/>
  <c r="G17" i="6"/>
  <c r="G9" i="6"/>
  <c r="G8" i="6"/>
  <c r="O40" i="6"/>
  <c r="O38" i="6"/>
  <c r="O36" i="6"/>
  <c r="O34" i="6"/>
  <c r="O32" i="6"/>
  <c r="O30" i="6"/>
  <c r="O28" i="6"/>
  <c r="O26" i="6"/>
  <c r="O24" i="6"/>
  <c r="O22" i="6"/>
  <c r="O20" i="6"/>
  <c r="O18" i="6"/>
  <c r="O16" i="6"/>
  <c r="O14" i="6"/>
  <c r="O12" i="6"/>
  <c r="O10" i="6"/>
  <c r="O8" i="6"/>
  <c r="O6" i="6"/>
  <c r="G39" i="6"/>
  <c r="G35" i="6"/>
  <c r="G31" i="6"/>
  <c r="G27" i="6"/>
  <c r="G23" i="6"/>
  <c r="G19" i="6"/>
  <c r="G15" i="6"/>
  <c r="G11" i="6"/>
  <c r="G7" i="6"/>
  <c r="G38" i="6"/>
  <c r="G34" i="6"/>
  <c r="G30" i="6"/>
  <c r="G26" i="6"/>
  <c r="G22" i="6"/>
  <c r="G18" i="6"/>
  <c r="G14" i="6"/>
  <c r="G10" i="6"/>
  <c r="G82" i="13"/>
  <c r="C20" i="14" l="1"/>
  <c r="M32" i="7"/>
  <c r="O32" i="7" s="1"/>
  <c r="M28" i="7"/>
  <c r="O28" i="7" s="1"/>
  <c r="M24" i="7"/>
  <c r="O24" i="7" s="1"/>
  <c r="M14" i="7"/>
  <c r="O14" i="7" s="1"/>
  <c r="M10" i="7"/>
  <c r="O10" i="7" s="1"/>
  <c r="M31" i="7"/>
  <c r="O31" i="7" s="1"/>
  <c r="M27" i="7"/>
  <c r="O27" i="7" s="1"/>
  <c r="M23" i="7"/>
  <c r="O23" i="7" s="1"/>
  <c r="M13" i="7"/>
  <c r="O13" i="7" s="1"/>
  <c r="M9" i="7"/>
  <c r="O9" i="7" s="1"/>
  <c r="M30" i="7"/>
  <c r="O30" i="7" s="1"/>
  <c r="M26" i="7"/>
  <c r="O26" i="7" s="1"/>
  <c r="M16" i="7"/>
  <c r="O16" i="7" s="1"/>
  <c r="M12" i="7"/>
  <c r="O12" i="7" s="1"/>
  <c r="M8" i="7"/>
  <c r="O8" i="7" s="1"/>
  <c r="M29" i="7"/>
  <c r="O29" i="7" s="1"/>
  <c r="M25" i="7"/>
  <c r="O25" i="7" s="1"/>
  <c r="M15" i="7"/>
  <c r="O15" i="7" s="1"/>
  <c r="M11" i="7"/>
  <c r="O11" i="7" s="1"/>
  <c r="M7" i="7"/>
  <c r="O7" i="7" s="1"/>
  <c r="O22" i="14"/>
  <c r="M51" i="14" s="1"/>
  <c r="K26" i="14"/>
  <c r="K44" i="14"/>
  <c r="K32" i="14"/>
  <c r="K47" i="14"/>
  <c r="K29" i="14"/>
  <c r="I77" i="9"/>
  <c r="O60" i="14" s="1"/>
  <c r="H26" i="17"/>
  <c r="J26" i="17" s="1"/>
  <c r="H93" i="14"/>
  <c r="H82" i="13"/>
  <c r="O49" i="13"/>
  <c r="H24" i="17"/>
  <c r="G32" i="14"/>
  <c r="G93" i="13"/>
  <c r="K93" i="13"/>
  <c r="J22" i="13"/>
  <c r="J22" i="14"/>
  <c r="O22" i="13"/>
  <c r="I21" i="14"/>
  <c r="J21" i="13"/>
  <c r="H47" i="12"/>
  <c r="G29" i="14"/>
  <c r="K90" i="13"/>
  <c r="G90" i="13"/>
  <c r="K87" i="13"/>
  <c r="G104" i="13"/>
  <c r="G47" i="14"/>
  <c r="G42" i="6"/>
  <c r="E42" i="6"/>
  <c r="M5" i="6" s="1"/>
  <c r="K48" i="14" l="1"/>
  <c r="K45" i="14"/>
  <c r="K105" i="13"/>
  <c r="K102" i="13"/>
  <c r="A48" i="12"/>
  <c r="O51" i="14"/>
  <c r="O17" i="7"/>
  <c r="O48" i="13" s="1"/>
  <c r="O50" i="13" s="1"/>
  <c r="C81" i="13" s="1"/>
  <c r="C82" i="13" s="1"/>
  <c r="M39" i="14"/>
  <c r="O33" i="7"/>
  <c r="K36" i="14"/>
  <c r="O21" i="14"/>
  <c r="K27" i="14"/>
  <c r="K33" i="14"/>
  <c r="K30" i="14"/>
  <c r="J24" i="17"/>
  <c r="J29" i="17" s="1"/>
  <c r="L29" i="17" s="1"/>
  <c r="H29" i="17"/>
  <c r="K94" i="13"/>
  <c r="K91" i="13"/>
  <c r="K88" i="13"/>
  <c r="O21" i="13"/>
  <c r="K97" i="13"/>
  <c r="O5" i="6"/>
  <c r="O42" i="6" s="1"/>
  <c r="M42" i="6"/>
  <c r="J42" i="6" s="1"/>
  <c r="O39" i="14" l="1"/>
  <c r="I23" i="13"/>
  <c r="M23" i="13"/>
  <c r="K23" i="13"/>
  <c r="K23" i="14"/>
  <c r="I23" i="14"/>
  <c r="M23" i="14"/>
  <c r="O35" i="7"/>
  <c r="O86" i="7" s="1"/>
  <c r="O64" i="14" s="1"/>
  <c r="O59" i="13"/>
  <c r="O70" i="14"/>
  <c r="B80" i="13"/>
  <c r="O37" i="7" l="1"/>
  <c r="O68" i="14"/>
  <c r="E92" i="14"/>
  <c r="E93" i="14" s="1"/>
  <c r="O88" i="7"/>
  <c r="O53" i="13"/>
  <c r="H34" i="17"/>
  <c r="O23" i="14"/>
  <c r="O24" i="14" s="1"/>
  <c r="O23" i="13"/>
  <c r="M25" i="13" s="1"/>
  <c r="O25" i="13" s="1"/>
  <c r="M104" i="13" s="1"/>
  <c r="O104" i="13" s="1"/>
  <c r="O41" i="13" s="1"/>
  <c r="I91" i="14"/>
  <c r="B91" i="14" s="1"/>
  <c r="I80" i="13"/>
  <c r="N80" i="13" s="1"/>
  <c r="I59" i="14" l="1"/>
  <c r="K59" i="14" s="1"/>
  <c r="O59" i="14" s="1"/>
  <c r="H38" i="17"/>
  <c r="J34" i="17"/>
  <c r="H50" i="17"/>
  <c r="O57" i="13"/>
  <c r="E81" i="13"/>
  <c r="E82" i="13" s="1"/>
  <c r="M90" i="13"/>
  <c r="O90" i="13" s="1"/>
  <c r="O31" i="13" s="1"/>
  <c r="M47" i="14"/>
  <c r="O47" i="14" s="1"/>
  <c r="M29" i="14"/>
  <c r="O29" i="14" s="1"/>
  <c r="M26" i="14"/>
  <c r="O26" i="14" s="1"/>
  <c r="M40" i="14"/>
  <c r="O40" i="14" s="1"/>
  <c r="O58" i="14"/>
  <c r="M52" i="14"/>
  <c r="O52" i="14" s="1"/>
  <c r="M35" i="14"/>
  <c r="O35" i="14" s="1"/>
  <c r="M32" i="14"/>
  <c r="O32" i="14" s="1"/>
  <c r="M44" i="14"/>
  <c r="O44" i="14" s="1"/>
  <c r="M87" i="13"/>
  <c r="O87" i="13" s="1"/>
  <c r="M96" i="13"/>
  <c r="O96" i="13" s="1"/>
  <c r="O35" i="13" s="1"/>
  <c r="M101" i="13"/>
  <c r="O101" i="13" s="1"/>
  <c r="M93" i="13"/>
  <c r="O93" i="13" s="1"/>
  <c r="O33" i="13" s="1"/>
  <c r="N91" i="14"/>
  <c r="O61" i="14" l="1"/>
  <c r="C92" i="14" s="1"/>
  <c r="C93" i="14" s="1"/>
  <c r="O49" i="14"/>
  <c r="O54" i="14" s="1"/>
  <c r="J38" i="17"/>
  <c r="L38" i="17" s="1"/>
  <c r="J50" i="17"/>
  <c r="O38" i="14"/>
  <c r="O42" i="14" s="1"/>
  <c r="O39" i="13"/>
  <c r="O106" i="13"/>
  <c r="O43" i="13" s="1"/>
  <c r="O29" i="13"/>
  <c r="O99" i="13"/>
  <c r="O55" i="14" l="1"/>
  <c r="O56" i="14" s="1"/>
  <c r="B92" i="14" s="1"/>
  <c r="O107" i="13"/>
  <c r="O37" i="13"/>
  <c r="O69" i="14" l="1"/>
  <c r="O71" i="14" s="1"/>
  <c r="B93" i="14"/>
  <c r="O108" i="13"/>
  <c r="O45" i="13" s="1"/>
  <c r="B81" i="13" s="1"/>
  <c r="O44" i="13"/>
  <c r="M71" i="14" l="1"/>
  <c r="M74" i="14"/>
  <c r="L19" i="17"/>
  <c r="L53" i="17" s="1"/>
  <c r="H54" i="17" s="1"/>
  <c r="P45" i="13"/>
  <c r="K72" i="14"/>
  <c r="O72" i="14" s="1"/>
  <c r="I92" i="14" s="1"/>
  <c r="O58" i="13"/>
  <c r="L54" i="17" l="1"/>
  <c r="L56" i="17" s="1"/>
  <c r="O74" i="14"/>
  <c r="I93" i="14"/>
  <c r="N93" i="14" s="1"/>
  <c r="N92" i="14"/>
  <c r="M63" i="13"/>
  <c r="O60" i="13"/>
  <c r="M60" i="13"/>
  <c r="B82" i="13"/>
  <c r="K61" i="13" l="1"/>
  <c r="O61" i="13" s="1"/>
  <c r="I81" i="13" s="1"/>
  <c r="O63" i="13" l="1"/>
  <c r="I82" i="13"/>
  <c r="N82" i="13" s="1"/>
  <c r="N81" i="13"/>
</calcChain>
</file>

<file path=xl/comments1.xml><?xml version="1.0" encoding="utf-8"?>
<comments xmlns="http://schemas.openxmlformats.org/spreadsheetml/2006/main">
  <authors>
    <author>BEAURAIN</author>
    <author>charles beaurain</author>
    <author>Charles Beaurain</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5" authorId="2" shapeId="0">
      <text>
        <r>
          <rPr>
            <sz val="12"/>
            <color indexed="81"/>
            <rFont val="Tahoma"/>
            <family val="2"/>
          </rPr>
          <t xml:space="preserve">Only  if appointed as Principal Agent.
</t>
        </r>
      </text>
    </comment>
  </commentList>
</comments>
</file>

<file path=xl/comments2.xml><?xml version="1.0" encoding="utf-8"?>
<comments xmlns="http://schemas.openxmlformats.org/spreadsheetml/2006/main">
  <authors>
    <author>BEAURAIN</author>
    <author>charles beaurain</author>
    <author>Charles Beaurain</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sz val="12"/>
            <color indexed="10"/>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4" authorId="2" shapeId="0">
      <text>
        <r>
          <rPr>
            <sz val="12"/>
            <color indexed="81"/>
            <rFont val="Tahoma"/>
            <family val="2"/>
          </rPr>
          <t xml:space="preserve">Only  if appointed as Principal Agent.
</t>
        </r>
      </text>
    </comment>
  </commentList>
</comments>
</file>

<file path=xl/comments3.xml><?xml version="1.0" encoding="utf-8"?>
<comments xmlns="http://schemas.openxmlformats.org/spreadsheetml/2006/main">
  <authors>
    <author>BEAURAIN</author>
  </authors>
  <commentList>
    <comment ref="J19" authorId="0" shape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<sst xmlns="http://schemas.openxmlformats.org/spreadsheetml/2006/main" count="1194" uniqueCount="648">
  <si>
    <t>PLUS VAT @</t>
  </si>
  <si>
    <t xml:space="preserve"> x</t>
  </si>
  <si>
    <t xml:space="preserve"> x {</t>
  </si>
  <si>
    <t>Date</t>
  </si>
  <si>
    <t>Total</t>
  </si>
  <si>
    <t>Amount</t>
  </si>
  <si>
    <t>DATE</t>
  </si>
  <si>
    <t>Hours</t>
  </si>
  <si>
    <t>Hotel Name</t>
  </si>
  <si>
    <t>Delivered to</t>
  </si>
  <si>
    <t>Size</t>
  </si>
  <si>
    <t>Type</t>
  </si>
  <si>
    <t>1. Typing</t>
  </si>
  <si>
    <t>2. Duplicating</t>
  </si>
  <si>
    <t>Pages</t>
  </si>
  <si>
    <t>SERVICE:</t>
  </si>
  <si>
    <t>TOTAL PROFESSIONAL FEES DUE (a) + (b)</t>
  </si>
  <si>
    <t>OF</t>
  </si>
  <si>
    <t>NOTE:</t>
  </si>
  <si>
    <t>x</t>
  </si>
  <si>
    <t>Designation</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</si>
  <si>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</si>
  <si>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</si>
  <si>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</si>
  <si>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</si>
  <si>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</si>
  <si>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</si>
  <si>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</si>
  <si>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</si>
  <si>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</si>
  <si>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</si>
  <si>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</si>
  <si>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</si>
  <si>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</si>
  <si>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</si>
  <si>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</si>
  <si>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</si>
  <si>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</si>
  <si>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</si>
  <si>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</si>
  <si>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</si>
  <si>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</si>
  <si>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</si>
  <si>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</si>
  <si>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</si>
  <si>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</si>
  <si>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</si>
  <si>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</si>
  <si>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</si>
  <si>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</si>
  <si>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</si>
  <si>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</si>
  <si>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</si>
  <si>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</si>
  <si>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</si>
  <si>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</si>
  <si>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</si>
  <si>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</si>
  <si>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</si>
  <si>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</si>
  <si>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</si>
  <si>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</si>
  <si>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</si>
  <si>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</si>
  <si>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</si>
  <si>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</si>
  <si>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</si>
  <si>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</si>
  <si>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</si>
  <si>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</si>
  <si>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</si>
  <si>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</si>
  <si>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</si>
  <si>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</si>
  <si>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</si>
  <si>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</si>
  <si>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</si>
  <si>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</si>
  <si>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</si>
  <si>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</si>
  <si>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</si>
  <si>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</si>
  <si>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</si>
  <si>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</si>
  <si>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</si>
  <si>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</si>
  <si>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</si>
  <si>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</si>
  <si>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</si>
  <si>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</si>
  <si>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</si>
  <si>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</si>
  <si>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</si>
  <si>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</si>
  <si>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t>
  </si>
  <si>
    <t>CLAIM</t>
  </si>
  <si>
    <t>MAXIMUM FOR "AGENT OF THE CLIENT"</t>
  </si>
  <si>
    <t xml:space="preserve"> Report: Time Based fees </t>
  </si>
  <si>
    <t>MAXIMUM FEE TO DATE</t>
  </si>
  <si>
    <t>TYPE OF PROJECT:</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</si>
  <si>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</si>
  <si>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</si>
  <si>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</si>
  <si>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</si>
  <si>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</si>
  <si>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MECHANICAL ENGINEERING PROJECT</t>
  </si>
  <si>
    <t>TOTAL VALUE OF ALL MECHANICAL WORK BY THE CONSULTING ENGINEER</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</si>
  <si>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</si>
  <si>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</si>
  <si>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</si>
  <si>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</si>
  <si>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</si>
  <si>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</si>
  <si>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</si>
  <si>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</si>
  <si>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Only in case of engineering projects an amount of 7% of the basic fee is allowed for the execution of targeted procurement.</t>
  </si>
  <si>
    <t>AGENT OF THE CLIENT (OHSA) (Only on Engineering project) (Y/N)</t>
  </si>
  <si>
    <t>GROUND RULES</t>
  </si>
  <si>
    <t>In some cases more than one of the fee factor multipliers may have to be applied to the same portion of the works, and these factors have to be dealt with separately in the fee calculations.</t>
  </si>
  <si>
    <t>COMPANY REGISTRATION NUMBER</t>
  </si>
  <si>
    <t>NOTES PERTAINING TO THE COMPLETION OF THE WORKBOOK.</t>
  </si>
  <si>
    <t>N</t>
  </si>
  <si>
    <t>Tel</t>
  </si>
  <si>
    <t>FEES CODE (YEAR)</t>
  </si>
  <si>
    <t>POSTAL ADDRESS:</t>
  </si>
  <si>
    <t>TOTAL VALUE OF PROJECT COMPLETED BY ALL CONSULTANTS DURING CONSTRUCTION &amp; COMPLETION STAGES INCLUDING P&amp;G's AND CPA</t>
  </si>
  <si>
    <t>ALTERATIONS TO EXISTING FACILITIES NOT AFFECTED BY ANY FACTOR OTHER THAN 1.25.</t>
  </si>
  <si>
    <t>BASIC FEE FOR WORK NOT AFFECTED BY ANY FACTORS</t>
  </si>
  <si>
    <t>VALUE OF DUPLICATED EXISTING FACILITIES AFFECTED BY BOTH 1.25 AND 0.25 FACTORS.</t>
  </si>
  <si>
    <t>TOTAL VALUE OF ALL MECHANICAL WORK COMPLETED INCLUDING PROPORTION OF P&amp;G AND CPA</t>
  </si>
  <si>
    <t>DUPLICATED EXISTING FACILITIES AFFECTED BY BOTH 1.25 &amp; .25 FACTORS.</t>
  </si>
  <si>
    <t>PRINCIPAL AGENT (Only on Engineering project) (Y/N)</t>
  </si>
  <si>
    <t>CONSTRUCTION STAGE ONLY</t>
  </si>
  <si>
    <t>Cell</t>
  </si>
  <si>
    <t>TAX INVOICE</t>
  </si>
  <si>
    <t xml:space="preserve">VALUE OF NEW WORK NOT AFFECTED BY ANY FACTORS. </t>
  </si>
  <si>
    <t>ESTIMATES OR TENDER VALUES</t>
  </si>
  <si>
    <t>TOTAL COST OF THE WORKS COMPRISING THE PROJECT, INCLUDING P&amp;G AND CPA</t>
  </si>
  <si>
    <t xml:space="preserve">FEE FOR WORK NOT AFFECTED BY ANY FACTORS. </t>
  </si>
  <si>
    <t>1</t>
  </si>
  <si>
    <t>CARRIED OVER</t>
  </si>
  <si>
    <t>38</t>
  </si>
  <si>
    <t>ATTACHED TO CLAIM NO</t>
  </si>
  <si>
    <t xml:space="preserve"> Report: Time Based fees Total Excl VAT</t>
  </si>
  <si>
    <t xml:space="preserve"> Agent of the client: Time Based fees Total Excl VAT</t>
  </si>
  <si>
    <t>Other: Time Based fees Total Excl VAT</t>
  </si>
  <si>
    <t>TRAVELLING  TIME</t>
  </si>
  <si>
    <t>Travelling Time</t>
  </si>
  <si>
    <t xml:space="preserve">CONSTRUCTION MONITORING  &amp; OTHER </t>
  </si>
  <si>
    <t>Time Based fees: Other</t>
  </si>
  <si>
    <t>INPUT ALL INFORMATION FOR THE WHOLE PROJECT</t>
  </si>
  <si>
    <t>NOTE: ALL ITEMS MUST EXCLUDE VAT</t>
  </si>
  <si>
    <t>PERCENTAGE OF FEE TENDERED</t>
  </si>
  <si>
    <t>TENDERED PERCENTAGE OF STANDARD FEES</t>
  </si>
  <si>
    <t>DUE</t>
  </si>
  <si>
    <t>(Not applicable in case of a tender for professional services)</t>
  </si>
  <si>
    <t>% OF STANDARD FEES TENDERED FOR PROFESSIONAL SERVICES</t>
  </si>
  <si>
    <t>REPORT STAGE (Only if specifically appointed for this stage)</t>
  </si>
  <si>
    <t>E-MAIL ADDRESS</t>
  </si>
  <si>
    <t>TEL NO</t>
  </si>
  <si>
    <t>CLIENT</t>
  </si>
  <si>
    <t>POSTAL ADDRESS</t>
  </si>
  <si>
    <t>POST OFFICE</t>
  </si>
  <si>
    <t>POSTAL CODE</t>
  </si>
  <si>
    <t>STREET &amp; NO</t>
  </si>
  <si>
    <t>TOWN/CITY</t>
  </si>
  <si>
    <t>FACSIMILE  NO:</t>
  </si>
  <si>
    <t>CELL PHONE NO</t>
  </si>
  <si>
    <t>ADRESS</t>
  </si>
  <si>
    <t xml:space="preserve">PROJECT MAN: </t>
  </si>
  <si>
    <t>VAT REGISTRATION NO:</t>
  </si>
  <si>
    <t>INVOICE NO</t>
  </si>
  <si>
    <t>TEL</t>
  </si>
  <si>
    <t>FAX</t>
  </si>
  <si>
    <t>FILE NUMBER:</t>
  </si>
  <si>
    <t>DRAWING NO:</t>
  </si>
  <si>
    <t>E-MAIL</t>
  </si>
  <si>
    <t>CELL</t>
  </si>
  <si>
    <t>TOWN</t>
  </si>
  <si>
    <t>BUILDING NAME</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</si>
  <si>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</si>
  <si>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</si>
  <si>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</si>
  <si>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</si>
  <si>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</si>
  <si>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</si>
  <si>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</si>
  <si>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</si>
  <si>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</si>
  <si>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</si>
  <si>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</si>
  <si>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Only coloured cells require input from the Consulting Engineer/Project manager</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</si>
  <si>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</si>
  <si>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</si>
  <si>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</si>
  <si>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</si>
  <si>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t>
  </si>
  <si>
    <t xml:space="preserve"> }x</t>
  </si>
  <si>
    <t>{</t>
  </si>
  <si>
    <t xml:space="preserve"> }=</t>
  </si>
  <si>
    <t>FACTOR</t>
  </si>
  <si>
    <t>DPW FILE NUMBER:</t>
  </si>
  <si>
    <t>WCS NUMBER</t>
  </si>
  <si>
    <t>WCS No:</t>
  </si>
  <si>
    <t>WCS No</t>
  </si>
  <si>
    <t>DPW PROJECT MANAGER</t>
  </si>
  <si>
    <t>DPW DRAWING NUMBER</t>
  </si>
  <si>
    <t>NATIONAL DEPARTMENT OF PUBLIC WORKS</t>
  </si>
  <si>
    <t xml:space="preserve">TELEPHONE </t>
  </si>
  <si>
    <t>WORKBOOK FOR THE CALCULATION OF CONSULTING ENGINEER'S FEES IN TERMS OF THE GUIDELINE FOR SERVICES AND FEES PUBLISHED BY ECSA AS AMENDED BY NDPW</t>
  </si>
  <si>
    <t>Principal Agent: A separate fee will be calculated for such an appointment, because the fee is based on the value of the works (1% of the total value of the works). This procedure is NOT a fee factor multiplier to be applied to the basic fee.</t>
  </si>
  <si>
    <t>(C) VALUE OF COMPLETED WORK (STAGE 4 &amp; 5)</t>
  </si>
  <si>
    <t>meb10</t>
  </si>
  <si>
    <t>TARGETED/PREFERENTIAL PROCUREMENT</t>
  </si>
  <si>
    <t>TENDER VALUES</t>
  </si>
  <si>
    <t>Monitoring Time Based fees Total Excl VAT</t>
  </si>
  <si>
    <t>Time based Fees Monitoring &amp; Other Excl VAT</t>
  </si>
  <si>
    <t>TOTAL FEES FOR INCEPTION, DESIGN &amp; TENDER STAGE (a)</t>
  </si>
  <si>
    <t>TOTAL FOR CONSTRUCTION AND CLOSE-OUT STAGE (b)</t>
  </si>
  <si>
    <t>TOTAL DISBURSEMENTS (d)</t>
  </si>
  <si>
    <t>TOTAL FEES (EXCL VAT)</t>
  </si>
  <si>
    <t>ADDRESS</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</si>
  <si>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</si>
  <si>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</si>
  <si>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</si>
  <si>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</si>
  <si>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</si>
  <si>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</si>
  <si>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</si>
  <si>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</si>
  <si>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</si>
  <si>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</si>
  <si>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</si>
  <si>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</si>
  <si>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</si>
  <si>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</si>
  <si>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</si>
  <si>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</si>
  <si>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</si>
  <si>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</si>
  <si>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</si>
  <si>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</si>
  <si>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PAGE 2</t>
  </si>
  <si>
    <t>CALCULATIONS</t>
  </si>
  <si>
    <t>TOTAL VALUE OF ALL ALTERATIONS TO EXISTING FACILITIES COMPLETED NOT AFFECTED BY ANY FACTOR OTHER THAN 1.25.</t>
  </si>
  <si>
    <t>TOTAL VALUE OF  NEW WORK NOT AFFECTED BY ANY FACTORS</t>
  </si>
  <si>
    <t>VALUE OF  NEW WORK NOT AFFECTED BY ANY FACTORS</t>
  </si>
  <si>
    <t>WCS CONTRACT NO</t>
  </si>
  <si>
    <t>TO</t>
  </si>
  <si>
    <t>MECHANICAL ENGINEERING SERVICES</t>
  </si>
  <si>
    <t>CONSULTANT  REFERENCE NO:</t>
  </si>
  <si>
    <t>FROM:</t>
  </si>
  <si>
    <t>CONSULTANT REF. NO:</t>
  </si>
  <si>
    <t>PREVIOUSLY CLAIMED</t>
  </si>
  <si>
    <t>FEE FOR NEW WORK NOT AFFECTED BY ANY FACTORS</t>
  </si>
  <si>
    <t>A6089/002/9</t>
  </si>
  <si>
    <t>Paul Mashinga</t>
  </si>
  <si>
    <t>Paul.mashinga@dpw.gov.za</t>
  </si>
  <si>
    <t>012 337 2345</t>
  </si>
  <si>
    <t>082 699 3459</t>
  </si>
  <si>
    <t>SERVICE DESCRIPT -1</t>
  </si>
  <si>
    <t>John Engineer CC</t>
  </si>
  <si>
    <t>P O Box 11111, Boksburg</t>
  </si>
  <si>
    <t>011 769 3456</t>
  </si>
  <si>
    <t>011 769 3011</t>
  </si>
  <si>
    <t>je@telkom.net</t>
  </si>
  <si>
    <t>23456778695</t>
  </si>
  <si>
    <t>400-45678-10</t>
  </si>
  <si>
    <t>PO STREET CODE</t>
  </si>
  <si>
    <t>OFFICE ADDRESS</t>
  </si>
  <si>
    <t>CONSULTANT OFFICE ADDRESS</t>
  </si>
  <si>
    <t>ServiceDPW567/102</t>
  </si>
  <si>
    <t>CODE</t>
  </si>
  <si>
    <t>PAGE 2 OF INVOICE</t>
  </si>
  <si>
    <t>Private Bag X65</t>
  </si>
  <si>
    <t>PRETORIA</t>
  </si>
  <si>
    <t>0001</t>
  </si>
  <si>
    <t>Public Works House</t>
  </si>
  <si>
    <t>Pretorius Street 445</t>
  </si>
  <si>
    <t>0002</t>
  </si>
  <si>
    <t>012 337 2000</t>
  </si>
  <si>
    <t>012 337 3276</t>
  </si>
  <si>
    <t>086 666 0000</t>
  </si>
  <si>
    <t>BILL OF QUANTITY BY CONSULTING ENGINEER - NO QUANTITY SURVEYOR APPOINTED (Y/N)</t>
  </si>
  <si>
    <t>Brightstar building 214, 1023 Peach Street, Boksburg</t>
  </si>
  <si>
    <t>082 344 6756</t>
  </si>
  <si>
    <t>086 610 0300</t>
  </si>
  <si>
    <t>DPW/001</t>
  </si>
  <si>
    <r>
      <t xml:space="preserve">INCEPTION, PRELIMINARY DESIGN: CONCEPT AND VIABILITY &amp; DETAIL DESIGN &amp; DOCUMENTATION AND PROCUREMENT. </t>
    </r>
    <r>
      <rPr>
        <b/>
        <i/>
        <sz val="12"/>
        <color indexed="10"/>
        <rFont val="Arial"/>
        <family val="2"/>
      </rPr>
      <t>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</si>
  <si>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</si>
  <si>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NOT REGISTERED</t>
  </si>
  <si>
    <t>ME 56789/001/6</t>
  </si>
  <si>
    <t>CONSULTING ENG.</t>
  </si>
  <si>
    <t>CONSULTING ENGINEER:</t>
  </si>
  <si>
    <t>FAX 2</t>
  </si>
  <si>
    <t>FAX 1</t>
  </si>
  <si>
    <t>FAX NO 1</t>
  </si>
  <si>
    <t>FAX-TO-EMAIL NO 2</t>
  </si>
  <si>
    <t>CONSULTING ENGINEER</t>
  </si>
  <si>
    <t xml:space="preserve">INVOICE NO: </t>
  </si>
  <si>
    <t>CONSULTANT REF. NUMBER :</t>
  </si>
  <si>
    <t>TARGETED/PREFERENTIAL PROCUREMENT (Y/N)</t>
  </si>
  <si>
    <t/>
  </si>
  <si>
    <t>PERCENTAGE BASED FEES</t>
  </si>
  <si>
    <t>STAGE COMPLETED</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</si>
  <si>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</si>
  <si>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</si>
  <si>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</si>
  <si>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</si>
  <si>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</si>
  <si>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FEES TIME BASED (c)</t>
  </si>
  <si>
    <r>
      <t xml:space="preserve">REPORT STAGE </t>
    </r>
    <r>
      <rPr>
        <b/>
        <sz val="10"/>
        <color indexed="10"/>
        <rFont val="Arial"/>
        <family val="2"/>
      </rPr>
      <t>(Only if specifically appointed for this stage)</t>
    </r>
  </si>
  <si>
    <t>Total Previous Payments  Received for this item</t>
  </si>
  <si>
    <t>Non-taxable Expenses Total for this invoice</t>
  </si>
  <si>
    <t>COMMENTS</t>
  </si>
  <si>
    <t>NAME: __________________________________________</t>
  </si>
  <si>
    <t>Rate (R)</t>
  </si>
  <si>
    <t>Approved rate (R)</t>
  </si>
  <si>
    <t>Tariff (R)</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</si>
  <si>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</si>
  <si>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</si>
  <si>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</si>
  <si>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</si>
  <si>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</si>
  <si>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</si>
  <si>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</si>
  <si>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</si>
  <si>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</si>
  <si>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</si>
  <si>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</si>
  <si>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</si>
  <si>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Contract Administration and Inspection</t>
  </si>
  <si>
    <t>Close-Out</t>
  </si>
  <si>
    <t>VAT  NO:</t>
  </si>
  <si>
    <t>LESS PENALTY</t>
  </si>
  <si>
    <t>PENALTY APPLIED</t>
  </si>
  <si>
    <t>YES</t>
  </si>
  <si>
    <t>___________________________</t>
  </si>
  <si>
    <t>TARGETED/PREFERENTIAL PROCUREMENT (Only on Engineering project) (Y/N)</t>
  </si>
  <si>
    <t>N/A for INCEPTION, CONTRACT ADMINISTRATION &amp; CLOSE-OUT STAGE</t>
  </si>
  <si>
    <t xml:space="preserve">Input the dates in the following format: "ddmmmyy" (13sep11). </t>
  </si>
  <si>
    <t>XYZ</t>
  </si>
  <si>
    <t>MULTIDISCIPLINARY PROJECT</t>
  </si>
  <si>
    <t>MECHANICAL MULTIDISCIPLINARY PROJECT</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</si>
  <si>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</si>
  <si>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</si>
  <si>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</si>
  <si>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</si>
  <si>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</si>
  <si>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</si>
  <si>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</si>
  <si>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</si>
  <si>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</si>
  <si>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</si>
  <si>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</si>
  <si>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</si>
  <si>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</si>
  <si>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</si>
  <si>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</si>
  <si>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ESTIMATED ENGINEERING FEES</t>
  </si>
  <si>
    <t>SCHEDULE W: SUBSISTENCE &amp; TRAVELLING EXPENSES</t>
  </si>
  <si>
    <t>(Import information from Trip Sheet Form A5)</t>
  </si>
  <si>
    <t>Claim No</t>
  </si>
  <si>
    <t>WCS NO:</t>
  </si>
  <si>
    <t>1. Travelling Time</t>
  </si>
  <si>
    <t>A. By private car</t>
  </si>
  <si>
    <t>Trip No</t>
  </si>
  <si>
    <t>Hours claimed*</t>
  </si>
  <si>
    <t>Cumulative Travelling Time claim Excl. VAT</t>
  </si>
  <si>
    <t>Previously claimed</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</si>
  <si>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</si>
  <si>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</si>
  <si>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</si>
  <si>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</si>
  <si>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</si>
  <si>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</si>
  <si>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</si>
  <si>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</si>
  <si>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</si>
  <si>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Depart from</t>
  </si>
  <si>
    <t>Home</t>
  </si>
  <si>
    <t>OR Tambo</t>
  </si>
  <si>
    <t>CPT RM</t>
  </si>
  <si>
    <t>CPT Airport</t>
  </si>
  <si>
    <t>Cumulative Travelling Time for air travel claim Excl. VAT</t>
  </si>
  <si>
    <t>Cumulative Total Travelling Time Excl. VAT</t>
  </si>
  <si>
    <t>Total Previously claimed</t>
  </si>
  <si>
    <t>Total this claim</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</si>
  <si>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</si>
  <si>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</si>
  <si>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</si>
  <si>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</si>
  <si>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</si>
  <si>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</si>
  <si>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</si>
  <si>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</si>
  <si>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</si>
  <si>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</si>
  <si>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</si>
  <si>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</si>
  <si>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</si>
  <si>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</si>
  <si>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</si>
  <si>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</si>
  <si>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</si>
  <si>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Air travel: travel time on ticket ± 1.5 hours allowed</t>
  </si>
  <si>
    <t>over and above flight travel time.</t>
  </si>
  <si>
    <t>(± 1 hour booking in and  ± 0.5 hour collecting Luggage)</t>
  </si>
  <si>
    <r>
      <rPr>
        <b/>
        <sz val="11"/>
        <rFont val="Arial"/>
        <family val="2"/>
      </rPr>
      <t>3. Construction Monitoring</t>
    </r>
    <r>
      <rPr>
        <b/>
        <sz val="11"/>
        <color indexed="12"/>
        <rFont val="Arial"/>
        <family val="2"/>
      </rPr>
      <t xml:space="preserve"> </t>
    </r>
    <r>
      <rPr>
        <b/>
        <sz val="11"/>
        <color rgb="FFFF0000"/>
        <rFont val="Arial"/>
        <family val="2"/>
      </rPr>
      <t>(Only if specifically appointed as such)</t>
    </r>
  </si>
  <si>
    <t>Rate</t>
  </si>
  <si>
    <t>Description of Document</t>
  </si>
  <si>
    <t>Cumulative Typing Duplicating &amp; Printing costs Excl VAT</t>
  </si>
  <si>
    <t>Approved Hours</t>
  </si>
  <si>
    <t>Cumulative Part Time Supervision Excl VAT</t>
  </si>
  <si>
    <t>Approved Remuneration</t>
  </si>
  <si>
    <t>Cumulative Full Time Supervision Excl VAT</t>
  </si>
  <si>
    <t>Cumulative Travelling expenses</t>
  </si>
  <si>
    <t>Cumulative Site Staff Charges Excl VAT</t>
  </si>
  <si>
    <t>D: Survey, Soil Tests and Other Charges</t>
  </si>
  <si>
    <t>Cumulative Survey, Soil Tests and Other Charges Excl VAT</t>
  </si>
  <si>
    <t>Cumulative Site Staff, Soil Tests  &amp; Other Charges Excl VAT</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</si>
  <si>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</si>
  <si>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</si>
  <si>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</si>
  <si>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</si>
  <si>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</si>
  <si>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</si>
  <si>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</si>
  <si>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</si>
  <si>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</si>
  <si>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</si>
  <si>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Cons.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</si>
  <si>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</si>
  <si>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</si>
  <si>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</si>
  <si>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</si>
  <si>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</si>
  <si>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</si>
  <si>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</si>
  <si>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</si>
  <si>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</si>
  <si>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</si>
  <si>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</si>
  <si>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</si>
  <si>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</si>
  <si>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</si>
  <si>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</si>
  <si>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</si>
  <si>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</si>
  <si>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</si>
  <si>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</si>
  <si>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</si>
  <si>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</si>
  <si>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</si>
  <si>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</si>
  <si>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</si>
  <si>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</si>
  <si>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</si>
  <si>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</si>
  <si>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</si>
  <si>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</si>
  <si>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</si>
  <si>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</si>
  <si>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</si>
  <si>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</si>
  <si>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</si>
  <si>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</si>
  <si>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</si>
  <si>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</si>
  <si>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</si>
  <si>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</si>
  <si>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</si>
  <si>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</si>
  <si>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</si>
  <si>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</si>
  <si>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</si>
  <si>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</si>
  <si>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</si>
  <si>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</si>
  <si>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</si>
  <si>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</si>
  <si>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</si>
  <si>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</si>
  <si>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</si>
  <si>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</si>
  <si>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</si>
  <si>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</si>
  <si>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</si>
  <si>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</si>
  <si>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</si>
  <si>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</si>
  <si>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</si>
  <si>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</si>
  <si>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</si>
  <si>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</si>
  <si>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</si>
  <si>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</si>
  <si>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</si>
  <si>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</si>
  <si>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</si>
  <si>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</si>
  <si>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</si>
  <si>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</si>
  <si>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</si>
  <si>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</si>
  <si>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</si>
  <si>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</si>
  <si>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</si>
  <si>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</si>
  <si>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Total Travelling Time (a) + (b) + (c) + (d)</t>
  </si>
  <si>
    <t>Days</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</si>
  <si>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</si>
  <si>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</si>
  <si>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</si>
  <si>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</si>
  <si>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</si>
  <si>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</si>
  <si>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</si>
  <si>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</si>
  <si>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</si>
  <si>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</si>
  <si>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</si>
  <si>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</si>
  <si>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</si>
  <si>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</si>
  <si>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</si>
  <si>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</si>
  <si>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</si>
  <si>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</si>
  <si>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</si>
  <si>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</si>
  <si>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</si>
  <si>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</si>
  <si>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</si>
  <si>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</si>
  <si>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</si>
  <si>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</si>
  <si>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</si>
  <si>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</si>
  <si>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</si>
  <si>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</si>
  <si>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</si>
  <si>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</si>
  <si>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</si>
  <si>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</si>
  <si>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</si>
  <si>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</si>
  <si>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</si>
  <si>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</si>
  <si>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</si>
  <si>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</si>
  <si>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</si>
  <si>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</si>
  <si>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</si>
  <si>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</si>
  <si>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</si>
  <si>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</si>
  <si>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</si>
  <si>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</si>
  <si>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</si>
  <si>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</si>
  <si>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</si>
  <si>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</si>
  <si>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</si>
  <si>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</si>
  <si>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</si>
  <si>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</si>
  <si>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</si>
  <si>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</si>
  <si>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</si>
  <si>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</si>
  <si>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</si>
  <si>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</si>
  <si>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</si>
  <si>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</si>
  <si>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</si>
  <si>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</si>
  <si>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</si>
  <si>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</si>
  <si>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</si>
  <si>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</si>
  <si>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</si>
  <si>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</si>
  <si>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</si>
  <si>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r>
      <rPr>
        <b/>
        <sz val="11"/>
        <rFont val="Arial"/>
        <family val="2"/>
      </rPr>
      <t>1. AGENT OF THE CLIENT</t>
    </r>
    <r>
      <rPr>
        <b/>
        <sz val="11"/>
        <color indexed="12"/>
        <rFont val="Arial"/>
        <family val="2"/>
      </rPr>
      <t xml:space="preserve"> </t>
    </r>
    <r>
      <rPr>
        <b/>
        <sz val="11"/>
        <color rgb="FFFF0000"/>
        <rFont val="Arial"/>
        <family val="2"/>
      </rPr>
      <t>(Only if specifically appointed as such)</t>
    </r>
  </si>
  <si>
    <t>NOTE: - ALL ITEMS MUST EXCLUDE VAT</t>
  </si>
  <si>
    <r>
      <t xml:space="preserve">2. Report stage </t>
    </r>
    <r>
      <rPr>
        <b/>
        <sz val="11"/>
        <color rgb="FFFF0000"/>
        <rFont val="Arial"/>
        <family val="2"/>
      </rPr>
      <t>(Only if specifically appointed as such)</t>
    </r>
  </si>
  <si>
    <t>4. Other Time Based Fees</t>
  </si>
  <si>
    <t>CLAIM NO.</t>
  </si>
  <si>
    <t xml:space="preserve">Cumulative Non Taxable Expenses </t>
  </si>
  <si>
    <t>CLAIM NO:</t>
  </si>
  <si>
    <t>City/Town/Centre</t>
  </si>
  <si>
    <t>SURVEY, SOIL TESTS AND OTHER CHARGES</t>
  </si>
  <si>
    <t>Subsistance, Travelling, transport, etc</t>
  </si>
  <si>
    <t>Penalties Applied</t>
  </si>
  <si>
    <t>Less Penalties Applied</t>
  </si>
  <si>
    <t>SUBSISTENCE &amp; TRAVELLING CHARGES</t>
  </si>
  <si>
    <t>Subsistence &amp; Travelling charges etc</t>
  </si>
  <si>
    <t>SITE STAFF CHARGES</t>
  </si>
  <si>
    <t>NO</t>
  </si>
  <si>
    <t>CLAIM NO</t>
  </si>
  <si>
    <t>PREVIOUS CLAIMS</t>
  </si>
  <si>
    <t>Portion claimed %</t>
  </si>
  <si>
    <t>SCALE_ME</t>
  </si>
  <si>
    <t>SCALE_MB</t>
  </si>
  <si>
    <t>2015 SCALES</t>
  </si>
  <si>
    <t>For any information, clarification or assistance please phone Albert Smook at 082 908 0197 or 012 406 1432 - e-mail address albert.smook@dpw.gov.za</t>
  </si>
  <si>
    <t>Fee in accordance with the National Department of Public Works Scope of Engineering Services and Tariff of Fees for Persons Registered in terms of the Engineering Profession Act, 2000 (Act No. 46 of 2000) dated 1 March 2015</t>
  </si>
  <si>
    <t xml:space="preserve">Stage 1 - Inception </t>
  </si>
  <si>
    <t>Stage 2 - Preliminary Design - Concept &amp; Viability</t>
  </si>
  <si>
    <t>Stage 3 – Detail Design</t>
  </si>
  <si>
    <t>Stage 4 - Document &amp; Procurement</t>
  </si>
  <si>
    <t>Stage 5 - Contract Administration and Inspection</t>
  </si>
  <si>
    <t>Stage 6 - Close Out</t>
  </si>
  <si>
    <t>Detail Design</t>
  </si>
  <si>
    <t>Documentation and Procurement</t>
  </si>
  <si>
    <t>Design Development</t>
  </si>
  <si>
    <t>Stage 4</t>
  </si>
  <si>
    <r>
      <t>(A) ESTIMATED OR TENDER VALUES (</t>
    </r>
    <r>
      <rPr>
        <b/>
        <sz val="11"/>
        <color rgb="FFFF0000"/>
        <rFont val="Arial"/>
        <family val="2"/>
      </rPr>
      <t>STAGES 1 -4</t>
    </r>
    <r>
      <rPr>
        <b/>
        <sz val="11"/>
        <rFont val="Arial"/>
        <family val="2"/>
      </rPr>
      <t>)</t>
    </r>
  </si>
  <si>
    <t>(D) FINAL MEASURED VALUES INCL. CPA &amp; P&amp;G (STAGE 6 ONLY)</t>
  </si>
  <si>
    <t>FEES (b) CONSTRACT ADMINISTRATION, ISPECTION AND CLOSE-OUT STAGES (5 &amp; 6)</t>
  </si>
  <si>
    <t>FEES (a) INCEPTION, PRELIMINARY DESIGN - CONCEPT &amp; VIABILITY, DETAIL DESIGN &amp;  DOCUMENT &amp; PROCUREMENT STAGES (1-4).</t>
  </si>
  <si>
    <t>FEES (b) CONSTRACT ADMINISTRATION, INSPECTION AND CLOSE-OUT STAGES (5 &amp; 6)</t>
  </si>
  <si>
    <r>
      <t xml:space="preserve">(B) ESTIMATED VALUE FOR DESIGN FEES DURING CONTRACT ADMINISTRATION  AND INSPECTION </t>
    </r>
    <r>
      <rPr>
        <b/>
        <sz val="11"/>
        <color indexed="10"/>
        <rFont val="Arial"/>
        <family val="2"/>
      </rPr>
      <t>(STAGE 5)</t>
    </r>
  </si>
  <si>
    <t>FEES (b) CONTRACT ADMINISTRATION, INSPECTION AND CLOSE-OUT STAGES (5 &amp; 6)</t>
  </si>
  <si>
    <t>Stage 5</t>
  </si>
  <si>
    <t>Stage 6</t>
  </si>
  <si>
    <t>(A) ESTIMATED OR TENDER VALUES (STAGES 1 -4)</t>
  </si>
  <si>
    <t>(B) ESTIMATED VALUE FOR DESIGN FEES DURING CONSTRUCTION (STAGE 5)</t>
  </si>
  <si>
    <t>(C) VALUE OF COMPLETED WORK (STAGE 5 &amp; 6)</t>
  </si>
  <si>
    <t>CLOSE OUT</t>
  </si>
  <si>
    <t>N/A for INCEPTION, CONTRACT ADMINISTRATION &amp; INSPECTION &amp; CLOSE-OUT STAGE</t>
  </si>
  <si>
    <t>ENGINEERING PROJECT</t>
  </si>
  <si>
    <t>CONTRACT ADMINISTRATION &amp; INSPECTION</t>
  </si>
  <si>
    <t>Provides for 15% VAT</t>
  </si>
  <si>
    <t xml:space="preserve">Version 1.3  2020-12 </t>
  </si>
  <si>
    <t>ALL FIGURES EXCLUDING VAT</t>
  </si>
  <si>
    <r>
      <t xml:space="preserve">CONTRACT ADMINISTRATION AND INSPECTION &amp; CLOSE-OUT. </t>
    </r>
    <r>
      <rPr>
        <b/>
        <i/>
        <sz val="12"/>
        <color indexed="10"/>
        <rFont val="Arial"/>
        <family val="2"/>
      </rPr>
      <t>ALL VALUES MUST INCLUDE RELEVANT PROPORTION OF P&amp;G AND CPA AND EXCLUDING VAT.</t>
    </r>
  </si>
  <si>
    <t>FEES (c )TIME BASED FEES (ALL EXCLUDING VAT)</t>
  </si>
  <si>
    <t>FEES (d) EXPENSES AND COSTS (DISBURSEMENTS) (ALL EXCLUDING VAT)</t>
  </si>
  <si>
    <t>This claim</t>
  </si>
  <si>
    <t>VAT =</t>
  </si>
  <si>
    <t>VAT FACTOR</t>
  </si>
  <si>
    <t>Cumulative Typing Total Excl. VAT</t>
  </si>
  <si>
    <t>Cumulative Duplicating Total Excl. VAT</t>
  </si>
  <si>
    <t>Cumulative Covers &amp; Binders Total Excl. VAT</t>
  </si>
  <si>
    <t>Cumulative Printing Total Excl VAT</t>
  </si>
  <si>
    <t>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</si>
</sst>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quot;R&quot;\ #,##0;[Red]&quot;R&quot;\ \-#,##0"/>
    <numFmt numFmtId="165" formatCode="_ &quot;R&quot;\ * #,##0.00_ ;_ &quot;R&quot;\ * \-#,##0.00_ ;_ &quot;R&quot;\ * &quot;-&quot;??_ ;_ @_ "/>
    <numFmt numFmtId="166" formatCode="_ * #,##0.00_ ;_ * \-#,##0.00_ ;_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1C09]dd\ mmmm\ yyyy;@"/>
    <numFmt numFmtId="175" formatCode="&quot;R&quot;\ #,##0"/>
    <numFmt numFmtId="176" formatCode="General_)"/>
    <numFmt numFmtId="177" formatCode="dd\,mmmm\,yy"/>
    <numFmt numFmtId="178" formatCode="dd\ mmmm\ yyyy"/>
    <numFmt numFmtId="179" formatCode="#\ ###\ ##0.00;\(#\ ###\ ##0.00\);\ \ \-\ \ "/>
    <numFmt numFmtId="180" formatCode="000000"/>
    <numFmt numFmtId="181" formatCode="0000"/>
    <numFmt numFmtId="182" formatCode="dd\-mmm\-yyyy"/>
    <numFmt numFmtId="183" formatCode="dd\ mmm\ yyyy"/>
    <numFmt numFmtId="184" formatCode="00"/>
    <numFmt numFmtId="185" formatCode="0.000"/>
    <numFmt numFmtId="186" formatCode="dd\-mmm\-yy\ hh:mm"/>
    <numFmt numFmtId="187" formatCode="dd\-mmm\-yy_)"/>
    <numFmt numFmtId="188" formatCode="000"/>
    <numFmt numFmtId="189" formatCode="0.0"/>
    <numFmt numFmtId="190" formatCode="[$R-1C09]\ #,##0.00"/>
    <numFmt numFmtId="191" formatCode="[$R-1C09]\ #,##0"/>
  </numFmts>
  <fonts count="126"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sz val="8"/>
      <name val="Courier"/>
      <family val="3"/>
    </font>
    <font>
      <b/>
      <sz val="11"/>
      <color indexed="12"/>
      <name val="Arial"/>
      <family val="2"/>
    </font>
    <font>
      <b/>
      <sz val="11"/>
      <color indexed="17"/>
      <name val="Arial"/>
      <family val="2"/>
    </font>
    <font>
      <b/>
      <sz val="18"/>
      <color indexed="10"/>
      <name val="Arial"/>
      <family val="2"/>
    </font>
    <font>
      <b/>
      <sz val="12"/>
      <color indexed="17"/>
      <name val="Arial"/>
      <family val="2"/>
    </font>
    <font>
      <b/>
      <u/>
      <sz val="11"/>
      <name val="Arial"/>
      <family val="2"/>
    </font>
    <font>
      <i/>
      <sz val="12"/>
      <name val="Arial"/>
      <family val="2"/>
    </font>
    <font>
      <b/>
      <sz val="11"/>
      <color indexed="15"/>
      <name val="Arial"/>
      <family val="2"/>
    </font>
    <font>
      <b/>
      <u/>
      <sz val="12"/>
      <name val="Arial"/>
      <family val="2"/>
    </font>
    <font>
      <i/>
      <sz val="10"/>
      <name val="Arial"/>
      <family val="2"/>
    </font>
    <font>
      <b/>
      <i/>
      <sz val="10"/>
      <name val="Arial"/>
      <family val="2"/>
    </font>
    <font>
      <i/>
      <sz val="11"/>
      <color indexed="8"/>
      <name val="Arial"/>
      <family val="2"/>
    </font>
    <font>
      <b/>
      <u/>
      <sz val="14"/>
      <color indexed="12"/>
      <name val="Arial"/>
      <family val="2"/>
    </font>
    <font>
      <sz val="9"/>
      <name val="Arial"/>
      <family val="2"/>
    </font>
    <font>
      <b/>
      <i/>
      <sz val="12"/>
      <color indexed="12"/>
      <name val="Arial"/>
      <family val="2"/>
    </font>
    <font>
      <sz val="10"/>
      <color indexed="10"/>
      <name val="Arial"/>
      <family val="2"/>
    </font>
    <font>
      <b/>
      <u/>
      <sz val="12"/>
      <color indexed="10"/>
      <name val="Arial"/>
      <family val="2"/>
    </font>
    <font>
      <b/>
      <sz val="12"/>
      <color indexed="12"/>
      <name val="Arial"/>
      <family val="2"/>
    </font>
    <font>
      <sz val="11"/>
      <color indexed="10"/>
      <name val="Arial"/>
      <family val="2"/>
    </font>
    <font>
      <b/>
      <i/>
      <sz val="11"/>
      <color indexed="12"/>
      <name val="Arial"/>
      <family val="2"/>
    </font>
    <font>
      <b/>
      <sz val="22"/>
      <color indexed="12"/>
      <name val="Arial"/>
      <family val="2"/>
    </font>
    <font>
      <sz val="12"/>
      <color indexed="10"/>
      <name val="Arial"/>
      <family val="2"/>
    </font>
    <font>
      <b/>
      <sz val="10"/>
      <color indexed="81"/>
      <name val="Tahoma"/>
      <family val="2"/>
    </font>
    <font>
      <sz val="10"/>
      <color indexed="81"/>
      <name val="Tahoma"/>
      <family val="2"/>
    </font>
    <font>
      <sz val="9"/>
      <color indexed="81"/>
      <name val="Tahoma"/>
      <family val="2"/>
    </font>
    <font>
      <b/>
      <sz val="10"/>
      <color indexed="17"/>
      <name val="Arial"/>
      <family val="2"/>
    </font>
    <font>
      <b/>
      <sz val="14"/>
      <color indexed="12"/>
      <name val="Arial"/>
      <family val="2"/>
    </font>
    <font>
      <b/>
      <sz val="22"/>
      <color indexed="17"/>
      <name val="Arial"/>
      <family val="2"/>
    </font>
    <font>
      <b/>
      <sz val="22"/>
      <color indexed="57"/>
      <name val="Arial"/>
      <family val="2"/>
    </font>
    <font>
      <b/>
      <sz val="16"/>
      <color indexed="16"/>
      <name val="Arial"/>
      <family val="2"/>
    </font>
    <font>
      <sz val="12"/>
      <color indexed="17"/>
      <name val="Arial"/>
      <family val="2"/>
    </font>
    <font>
      <sz val="12"/>
      <color indexed="9"/>
      <name val="Courier"/>
      <family val="3"/>
    </font>
    <font>
      <sz val="16"/>
      <color indexed="10"/>
      <name val="Arial"/>
      <family val="2"/>
    </font>
    <font>
      <u/>
      <sz val="12"/>
      <name val="Arial"/>
      <family val="2"/>
    </font>
    <font>
      <sz val="12"/>
      <color indexed="8"/>
      <name val="Arial"/>
      <family val="2"/>
    </font>
    <font>
      <b/>
      <i/>
      <sz val="10"/>
      <color indexed="8"/>
      <name val="Arial"/>
      <family val="2"/>
    </font>
    <font>
      <sz val="9"/>
      <color indexed="8"/>
      <name val="Arial"/>
      <family val="2"/>
    </font>
    <font>
      <i/>
      <sz val="10"/>
      <color indexed="8"/>
      <name val="Arial"/>
      <family val="2"/>
    </font>
    <font>
      <b/>
      <sz val="14"/>
      <color indexed="8"/>
      <name val="Arial"/>
      <family val="2"/>
    </font>
    <font>
      <u/>
      <sz val="12"/>
      <color indexed="10"/>
      <name val="Arial"/>
      <family val="2"/>
    </font>
    <font>
      <b/>
      <u/>
      <sz val="18"/>
      <name val="Arial"/>
      <family val="2"/>
    </font>
    <font>
      <b/>
      <u/>
      <sz val="16"/>
      <name val="Arial"/>
      <family val="2"/>
    </font>
    <font>
      <b/>
      <sz val="8"/>
      <color indexed="8"/>
      <name val="Arial"/>
      <family val="2"/>
    </font>
    <font>
      <sz val="8"/>
      <color indexed="8"/>
      <name val="Arial"/>
      <family val="2"/>
    </font>
    <font>
      <b/>
      <sz val="9"/>
      <color indexed="8"/>
      <name val="Arial"/>
      <family val="2"/>
    </font>
    <font>
      <sz val="16"/>
      <name val="Arial"/>
      <family val="2"/>
    </font>
    <font>
      <b/>
      <sz val="11"/>
      <color indexed="50"/>
      <name val="Arial"/>
      <family val="2"/>
    </font>
    <font>
      <b/>
      <sz val="11"/>
      <color indexed="52"/>
      <name val="Arial"/>
      <family val="2"/>
    </font>
    <font>
      <sz val="12"/>
      <color indexed="16"/>
      <name val="Arial"/>
      <family val="2"/>
    </font>
    <font>
      <sz val="14"/>
      <color indexed="12"/>
      <name val="Arial"/>
      <family val="2"/>
    </font>
    <font>
      <sz val="11"/>
      <color indexed="50"/>
      <name val="Arial"/>
      <family val="2"/>
    </font>
    <font>
      <sz val="11"/>
      <color indexed="41"/>
      <name val="Arial"/>
      <family val="2"/>
    </font>
    <font>
      <b/>
      <sz val="11"/>
      <color indexed="41"/>
      <name val="Arial"/>
      <family val="2"/>
    </font>
    <font>
      <sz val="12"/>
      <color indexed="41"/>
      <name val="Arial"/>
      <family val="2"/>
    </font>
    <font>
      <sz val="18"/>
      <name val="Arial"/>
      <family val="2"/>
    </font>
    <font>
      <b/>
      <sz val="14"/>
      <color indexed="10"/>
      <name val="Arial"/>
      <family val="2"/>
    </font>
    <font>
      <b/>
      <i/>
      <sz val="12"/>
      <color indexed="10"/>
      <name val="Arial"/>
      <family val="2"/>
    </font>
    <font>
      <b/>
      <sz val="14"/>
      <color indexed="17"/>
      <name val="Arial"/>
      <family val="2"/>
    </font>
    <font>
      <sz val="12"/>
      <color indexed="10"/>
      <name val="Tahoma"/>
      <family val="2"/>
    </font>
    <font>
      <sz val="11"/>
      <color indexed="15"/>
      <name val="Arial"/>
      <family val="2"/>
    </font>
    <font>
      <b/>
      <u/>
      <sz val="12"/>
      <color indexed="12"/>
      <name val="Arial"/>
      <family val="2"/>
    </font>
    <font>
      <sz val="8"/>
      <color indexed="10"/>
      <name val="Tahoma"/>
      <family val="2"/>
    </font>
    <font>
      <sz val="12"/>
      <name val="Courier"/>
      <family val="3"/>
    </font>
    <font>
      <b/>
      <sz val="11"/>
      <color indexed="10"/>
      <name val="Arial Narrow"/>
      <family val="2"/>
    </font>
    <font>
      <sz val="12"/>
      <color indexed="10"/>
      <name val="Courier"/>
      <family val="3"/>
    </font>
    <font>
      <b/>
      <sz val="12"/>
      <name val="Courier"/>
      <family val="3"/>
    </font>
    <font>
      <b/>
      <sz val="10"/>
      <color indexed="10"/>
      <name val="Tahoma"/>
      <family val="2"/>
    </font>
    <font>
      <b/>
      <sz val="12"/>
      <color indexed="10"/>
      <name val="Tahoma"/>
      <family val="2"/>
    </font>
    <font>
      <b/>
      <u/>
      <sz val="16"/>
      <color indexed="12"/>
      <name val="Arial"/>
      <family val="2"/>
    </font>
    <font>
      <sz val="12"/>
      <color indexed="81"/>
      <name val="Tahoma"/>
      <family val="2"/>
    </font>
    <font>
      <b/>
      <sz val="10"/>
      <color indexed="10"/>
      <name val="Arial Narrow"/>
      <family val="2"/>
    </font>
    <font>
      <sz val="11"/>
      <name val="Courier"/>
      <family val="3"/>
    </font>
    <font>
      <u/>
      <sz val="12"/>
      <color rgb="FFFF0000"/>
      <name val="Arial"/>
      <family val="2"/>
    </font>
    <font>
      <b/>
      <sz val="14"/>
      <name val="Arial"/>
      <family val="2"/>
    </font>
    <font>
      <b/>
      <sz val="12"/>
      <color rgb="FFFF0000"/>
      <name val="Arial"/>
      <family val="2"/>
    </font>
    <font>
      <sz val="12"/>
      <color rgb="FFFF0000"/>
      <name val="Arial"/>
      <family val="2"/>
    </font>
    <font>
      <sz val="10"/>
      <color rgb="FF0000FF"/>
      <name val="Arial"/>
      <family val="2"/>
    </font>
    <font>
      <b/>
      <sz val="10"/>
      <color rgb="FF000000"/>
      <name val="Arial"/>
      <family val="2"/>
    </font>
    <font>
      <b/>
      <sz val="11"/>
      <color rgb="FFFF0000"/>
      <name val="Arial"/>
      <family val="2"/>
    </font>
    <font>
      <b/>
      <sz val="10"/>
      <name val="Courier"/>
      <family val="3"/>
    </font>
    <font>
      <b/>
      <i/>
      <sz val="10"/>
      <color rgb="FFFF0000"/>
      <name val="Arial"/>
      <family val="2"/>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2"/>
      <color rgb="FF0000FF"/>
      <name val="Arial"/>
      <family val="2"/>
    </font>
    <font>
      <sz val="11"/>
      <color rgb="FF000000"/>
      <name val="Calibri"/>
      <family val="2"/>
    </font>
    <font>
      <sz val="10"/>
      <color rgb="FFFF0000"/>
      <name val="Arial"/>
      <family val="2"/>
    </font>
    <font>
      <sz val="11"/>
      <color rgb="FFFF0000"/>
      <name val="Calibri"/>
      <family val="2"/>
    </font>
    <font>
      <sz val="11"/>
      <color rgb="FF1F497D"/>
      <name val="Calibri"/>
      <family val="2"/>
    </font>
    <font>
      <b/>
      <sz val="12"/>
      <color rgb="FF0070C0"/>
      <name val="Arial"/>
      <family val="2"/>
    </font>
    <font>
      <b/>
      <sz val="16"/>
      <color rgb="FFFF0000"/>
      <name val="Arial"/>
      <family val="2"/>
    </font>
  </fonts>
  <fills count="15">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darkGrid"/>
    </fill>
    <fill>
      <patternFill patternType="solid">
        <fgColor indexed="42"/>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4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s>
  <borders count="228">
    <border>
      <left/>
      <right/>
      <top/>
      <bottom/>
      <diagonal/>
    </border>
    <border>
      <left/>
      <right/>
      <top style="thin">
        <color indexed="64"/>
      </top>
      <bottom style="double">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style="double">
        <color indexed="64"/>
      </left>
      <right/>
      <top/>
      <bottom style="medium">
        <color indexed="64"/>
      </bottom>
      <diagonal/>
    </border>
    <border>
      <left/>
      <right/>
      <top style="thin">
        <color indexed="64"/>
      </top>
      <bottom/>
      <diagonal/>
    </border>
    <border>
      <left style="double">
        <color indexed="64"/>
      </left>
      <right/>
      <top style="thin">
        <color indexed="64"/>
      </top>
      <bottom/>
      <diagonal/>
    </border>
    <border>
      <left/>
      <right/>
      <top style="double">
        <color indexed="64"/>
      </top>
      <bottom/>
      <diagonal/>
    </border>
    <border>
      <left style="thin">
        <color indexed="64"/>
      </left>
      <right/>
      <top style="thin">
        <color indexed="64"/>
      </top>
      <bottom/>
      <diagonal/>
    </border>
    <border>
      <left style="double">
        <color indexed="64"/>
      </left>
      <right/>
      <top style="double">
        <color indexed="64"/>
      </top>
      <bottom/>
      <diagonal/>
    </border>
    <border>
      <left style="thin">
        <color indexed="64"/>
      </left>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medium">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style="thin">
        <color indexed="64"/>
      </right>
      <top style="dashed">
        <color indexed="64"/>
      </top>
      <bottom style="dashed">
        <color indexed="64"/>
      </bottom>
      <diagonal/>
    </border>
    <border>
      <left style="double">
        <color indexed="64"/>
      </left>
      <right/>
      <top style="double">
        <color indexed="64"/>
      </top>
      <bottom style="dashed">
        <color indexed="64"/>
      </bottom>
      <diagonal/>
    </border>
    <border>
      <left style="thin">
        <color indexed="64"/>
      </left>
      <right style="double">
        <color indexed="64"/>
      </right>
      <top/>
      <bottom style="medium">
        <color indexed="64"/>
      </bottom>
      <diagonal/>
    </border>
    <border>
      <left style="double">
        <color indexed="64"/>
      </left>
      <right/>
      <top/>
      <bottom style="dashed">
        <color indexed="64"/>
      </bottom>
      <diagonal/>
    </border>
    <border>
      <left style="double">
        <color indexed="64"/>
      </left>
      <right/>
      <top style="dotted">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style="dotted">
        <color indexed="64"/>
      </top>
      <bottom style="dashed">
        <color indexed="64"/>
      </bottom>
      <diagonal/>
    </border>
    <border>
      <left style="double">
        <color indexed="64"/>
      </left>
      <right/>
      <top style="dashed">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style="thin">
        <color indexed="64"/>
      </right>
      <top style="medium">
        <color indexed="64"/>
      </top>
      <bottom style="double">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thin">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right style="thin">
        <color indexed="64"/>
      </right>
      <top style="dotted">
        <color indexed="64"/>
      </top>
      <bottom/>
      <diagonal/>
    </border>
    <border>
      <left style="double">
        <color indexed="64"/>
      </left>
      <right style="thin">
        <color indexed="64"/>
      </right>
      <top style="dashed">
        <color indexed="64"/>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style="thin">
        <color indexed="8"/>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double">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style="medium">
        <color indexed="64"/>
      </top>
      <bottom/>
      <diagonal/>
    </border>
    <border>
      <left/>
      <right/>
      <top style="medium">
        <color indexed="64"/>
      </top>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diagonal/>
    </border>
    <border>
      <left/>
      <right style="thin">
        <color indexed="64"/>
      </right>
      <top/>
      <bottom style="dashed">
        <color indexed="64"/>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18">
    <xf numFmtId="0" fontId="0" fillId="0" borderId="0"/>
    <xf numFmtId="165"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24" fillId="0" borderId="0"/>
    <xf numFmtId="0" fontId="11" fillId="0" borderId="0"/>
    <xf numFmtId="9" fontId="1" fillId="0" borderId="0" applyFont="0" applyFill="0" applyBorder="0" applyAlignment="0" applyProtection="0"/>
    <xf numFmtId="168" fontId="2" fillId="0" borderId="1">
      <protection locked="0"/>
    </xf>
    <xf numFmtId="0" fontId="95" fillId="0" borderId="0" applyFont="0"/>
  </cellStyleXfs>
  <cellXfs count="2145">
    <xf numFmtId="0" fontId="0" fillId="0" borderId="0" xfId="0"/>
    <xf numFmtId="3" fontId="26" fillId="0" borderId="0" xfId="14" applyNumberFormat="1" applyFont="1" applyBorder="1" applyProtection="1">
      <protection locked="0"/>
    </xf>
    <xf numFmtId="0" fontId="13" fillId="0" borderId="0" xfId="0" applyFont="1"/>
    <xf numFmtId="173" fontId="15" fillId="0" borderId="2" xfId="0" applyNumberFormat="1" applyFont="1" applyFill="1" applyBorder="1" applyAlignment="1" applyProtection="1">
      <alignment horizontal="left" vertical="center"/>
      <protection hidden="1"/>
    </xf>
    <xf numFmtId="173" fontId="15" fillId="0" borderId="3" xfId="0" applyNumberFormat="1" applyFont="1" applyFill="1" applyBorder="1" applyAlignment="1" applyProtection="1">
      <alignment horizontal="right" vertical="center"/>
    </xf>
    <xf numFmtId="0" fontId="14" fillId="0" borderId="4" xfId="0" applyFont="1" applyFill="1" applyBorder="1" applyAlignment="1" applyProtection="1">
      <alignment horizontal="left" vertical="center" wrapText="1"/>
    </xf>
    <xf numFmtId="0" fontId="14" fillId="0" borderId="0" xfId="0" applyFont="1" applyBorder="1" applyAlignment="1" applyProtection="1">
      <alignment horizontal="left" vertical="center"/>
    </xf>
    <xf numFmtId="0" fontId="14" fillId="0" borderId="5" xfId="0" applyFont="1" applyBorder="1" applyAlignment="1" applyProtection="1">
      <alignment vertical="center"/>
    </xf>
    <xf numFmtId="175" fontId="15" fillId="0" borderId="6" xfId="0" applyNumberFormat="1" applyFont="1" applyBorder="1" applyAlignment="1" applyProtection="1">
      <alignment vertical="center"/>
    </xf>
    <xf numFmtId="0" fontId="14" fillId="0" borderId="0" xfId="0" applyFont="1" applyBorder="1" applyAlignment="1" applyProtection="1">
      <alignment vertical="center"/>
    </xf>
    <xf numFmtId="1" fontId="25" fillId="0" borderId="7" xfId="0" applyNumberFormat="1" applyFont="1" applyFill="1" applyBorder="1" applyAlignment="1" applyProtection="1">
      <alignment horizontal="center" vertical="center"/>
    </xf>
    <xf numFmtId="0" fontId="13" fillId="0" borderId="0" xfId="0" applyFont="1" applyAlignment="1">
      <alignment vertical="center" wrapText="1"/>
    </xf>
    <xf numFmtId="0" fontId="15" fillId="0" borderId="0" xfId="0" applyFont="1" applyBorder="1" applyAlignment="1" applyProtection="1">
      <alignment vertical="center"/>
    </xf>
    <xf numFmtId="0" fontId="14" fillId="0" borderId="8" xfId="0" applyFont="1" applyBorder="1" applyAlignment="1" applyProtection="1">
      <alignment vertical="center"/>
    </xf>
    <xf numFmtId="0" fontId="12" fillId="0" borderId="8" xfId="0" applyFont="1" applyBorder="1" applyAlignment="1">
      <alignment vertical="center"/>
    </xf>
    <xf numFmtId="0" fontId="15" fillId="0" borderId="5" xfId="0" applyFont="1" applyBorder="1" applyAlignment="1" applyProtection="1">
      <alignment vertical="center"/>
    </xf>
    <xf numFmtId="0" fontId="14" fillId="0" borderId="0" xfId="0" applyFont="1" applyFill="1" applyBorder="1" applyAlignment="1" applyProtection="1">
      <alignment vertical="center"/>
    </xf>
    <xf numFmtId="0" fontId="15" fillId="0" borderId="0" xfId="0" applyFont="1"/>
    <xf numFmtId="0" fontId="19" fillId="0" borderId="0" xfId="0" applyFont="1"/>
    <xf numFmtId="0" fontId="4" fillId="0" borderId="0" xfId="0" applyFont="1" applyBorder="1" applyAlignment="1" applyProtection="1">
      <alignment horizontal="left" vertical="center"/>
    </xf>
    <xf numFmtId="9" fontId="5" fillId="0" borderId="4"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4" fillId="0" borderId="0" xfId="15" applyFont="1" applyFill="1" applyBorder="1" applyAlignment="1" applyProtection="1">
      <alignment vertical="center"/>
    </xf>
    <xf numFmtId="0" fontId="5" fillId="0" borderId="4"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10" xfId="0" applyFont="1" applyFill="1" applyBorder="1" applyAlignment="1" applyProtection="1">
      <alignment vertical="center"/>
    </xf>
    <xf numFmtId="0" fontId="5" fillId="0" borderId="5" xfId="0" applyFont="1" applyFill="1" applyBorder="1" applyAlignment="1" applyProtection="1">
      <alignment vertical="center"/>
    </xf>
    <xf numFmtId="9" fontId="4" fillId="0" borderId="4"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10" xfId="0" applyFont="1" applyBorder="1" applyAlignment="1" applyProtection="1">
      <alignment vertical="center"/>
    </xf>
    <xf numFmtId="0" fontId="5" fillId="0" borderId="2" xfId="0" applyFont="1" applyFill="1" applyBorder="1" applyAlignment="1" applyProtection="1">
      <alignment vertical="center"/>
    </xf>
    <xf numFmtId="0" fontId="5"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5" fillId="0" borderId="11" xfId="0" applyFont="1" applyFill="1" applyBorder="1" applyAlignment="1" applyProtection="1">
      <alignment vertical="center"/>
    </xf>
    <xf numFmtId="0" fontId="4" fillId="0" borderId="5" xfId="0" applyFont="1" applyBorder="1" applyAlignment="1" applyProtection="1">
      <alignment vertical="center"/>
    </xf>
    <xf numFmtId="0" fontId="12" fillId="0" borderId="0" xfId="0" applyFont="1" applyBorder="1" applyAlignment="1">
      <alignment vertical="center"/>
    </xf>
    <xf numFmtId="0" fontId="12" fillId="0" borderId="0" xfId="0" applyFont="1" applyBorder="1" applyAlignment="1" applyProtection="1">
      <alignment vertical="center" wrapText="1"/>
    </xf>
    <xf numFmtId="0" fontId="12" fillId="0" borderId="0" xfId="0" applyFont="1" applyBorder="1" applyAlignment="1" applyProtection="1">
      <alignment vertical="center"/>
    </xf>
    <xf numFmtId="0" fontId="12" fillId="0" borderId="8" xfId="0" applyFont="1" applyBorder="1" applyAlignment="1" applyProtection="1">
      <alignment vertical="center"/>
    </xf>
    <xf numFmtId="0" fontId="15"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5"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0" fontId="4" fillId="0" borderId="15" xfId="0"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0" fontId="12" fillId="0" borderId="10" xfId="0" applyFont="1" applyBorder="1" applyAlignment="1" applyProtection="1">
      <alignment vertical="center"/>
    </xf>
    <xf numFmtId="173" fontId="29" fillId="0" borderId="5" xfId="0" applyNumberFormat="1" applyFont="1" applyFill="1" applyBorder="1" applyAlignment="1" applyProtection="1">
      <alignment vertical="center"/>
    </xf>
    <xf numFmtId="0" fontId="12" fillId="0" borderId="5" xfId="0" applyFont="1" applyBorder="1" applyAlignment="1" applyProtection="1">
      <alignment vertical="center"/>
    </xf>
    <xf numFmtId="172" fontId="5" fillId="0" borderId="0" xfId="0" applyNumberFormat="1" applyFont="1" applyFill="1" applyBorder="1" applyAlignment="1" applyProtection="1">
      <alignment vertical="center"/>
    </xf>
    <xf numFmtId="0" fontId="5" fillId="0" borderId="16" xfId="0" applyFont="1" applyFill="1" applyBorder="1" applyAlignment="1" applyProtection="1">
      <alignment vertical="center"/>
    </xf>
    <xf numFmtId="170" fontId="5" fillId="0" borderId="8"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horizontal="center" vertical="center"/>
    </xf>
    <xf numFmtId="171"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0" fontId="4" fillId="0" borderId="5" xfId="0" applyFont="1" applyBorder="1" applyAlignment="1" applyProtection="1">
      <alignment horizontal="left" vertical="center"/>
    </xf>
    <xf numFmtId="0" fontId="7" fillId="0" borderId="5" xfId="0" applyFont="1" applyBorder="1" applyAlignment="1" applyProtection="1">
      <alignment horizontal="left" vertical="center"/>
    </xf>
    <xf numFmtId="0" fontId="6" fillId="0" borderId="5" xfId="0" applyFont="1" applyFill="1" applyBorder="1" applyAlignment="1" applyProtection="1">
      <alignment vertical="center"/>
    </xf>
    <xf numFmtId="170" fontId="5" fillId="0" borderId="5"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3" fontId="4" fillId="0" borderId="3" xfId="0" applyNumberFormat="1" applyFont="1" applyBorder="1" applyAlignment="1" applyProtection="1">
      <alignment vertical="center"/>
    </xf>
    <xf numFmtId="0" fontId="5" fillId="0" borderId="5" xfId="0" applyFont="1" applyFill="1" applyBorder="1" applyAlignment="1" applyProtection="1">
      <alignment horizontal="left" vertical="center"/>
    </xf>
    <xf numFmtId="0" fontId="5" fillId="0" borderId="17"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15" xfId="0" applyFont="1" applyFill="1" applyBorder="1" applyAlignment="1" applyProtection="1">
      <alignment horizontal="center" vertical="center"/>
    </xf>
    <xf numFmtId="9" fontId="5" fillId="0" borderId="15" xfId="0" applyNumberFormat="1" applyFont="1" applyFill="1" applyBorder="1" applyAlignment="1" applyProtection="1">
      <alignment vertical="center"/>
    </xf>
    <xf numFmtId="170" fontId="5" fillId="0" borderId="15"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0" fontId="5" fillId="0" borderId="10" xfId="0" applyNumberFormat="1" applyFont="1" applyFill="1" applyBorder="1" applyAlignment="1" applyProtection="1">
      <alignment vertical="center"/>
    </xf>
    <xf numFmtId="0" fontId="5" fillId="0" borderId="14" xfId="0" applyFont="1" applyFill="1" applyBorder="1" applyAlignment="1" applyProtection="1">
      <alignment vertical="center"/>
    </xf>
    <xf numFmtId="0" fontId="45" fillId="0" borderId="17" xfId="0" applyFont="1" applyFill="1" applyBorder="1" applyAlignment="1" applyProtection="1">
      <alignment vertical="center"/>
    </xf>
    <xf numFmtId="0" fontId="45" fillId="0" borderId="4" xfId="0" applyFont="1" applyFill="1" applyBorder="1" applyAlignment="1" applyProtection="1">
      <alignment vertical="center"/>
    </xf>
    <xf numFmtId="0" fontId="5" fillId="0" borderId="18" xfId="0" applyFont="1" applyFill="1" applyBorder="1" applyAlignment="1" applyProtection="1">
      <alignment vertical="center"/>
    </xf>
    <xf numFmtId="170" fontId="6" fillId="0" borderId="0" xfId="0" applyNumberFormat="1" applyFont="1" applyFill="1" applyBorder="1" applyAlignment="1" applyProtection="1">
      <alignment vertical="center"/>
    </xf>
    <xf numFmtId="0" fontId="5" fillId="0" borderId="20" xfId="0" applyFont="1" applyFill="1" applyBorder="1" applyAlignment="1" applyProtection="1">
      <alignment vertical="center"/>
    </xf>
    <xf numFmtId="0" fontId="37" fillId="0" borderId="19" xfId="0" applyFont="1" applyFill="1" applyBorder="1" applyAlignment="1" applyProtection="1">
      <alignment vertical="center"/>
    </xf>
    <xf numFmtId="0" fontId="37" fillId="0" borderId="20" xfId="0" applyFont="1" applyFill="1" applyBorder="1" applyAlignment="1" applyProtection="1">
      <alignment vertical="center"/>
    </xf>
    <xf numFmtId="0" fontId="14" fillId="2" borderId="5" xfId="0" applyFont="1" applyFill="1" applyBorder="1" applyAlignment="1" applyProtection="1">
      <alignment vertical="center"/>
    </xf>
    <xf numFmtId="0" fontId="14" fillId="0" borderId="8" xfId="0" applyFont="1" applyFill="1" applyBorder="1" applyAlignment="1" applyProtection="1">
      <alignment vertical="center"/>
    </xf>
    <xf numFmtId="173" fontId="4" fillId="0" borderId="2" xfId="0" applyNumberFormat="1" applyFont="1" applyBorder="1" applyAlignment="1" applyProtection="1">
      <alignment vertical="center"/>
      <protection hidden="1"/>
    </xf>
    <xf numFmtId="0" fontId="30" fillId="0" borderId="0" xfId="0" applyFont="1" applyBorder="1" applyAlignment="1" applyProtection="1">
      <alignment horizontal="center" vertical="center"/>
    </xf>
    <xf numFmtId="0" fontId="25" fillId="3" borderId="21" xfId="0" applyFont="1" applyFill="1" applyBorder="1" applyAlignment="1" applyProtection="1">
      <alignment horizontal="center" vertical="center"/>
      <protection locked="0"/>
    </xf>
    <xf numFmtId="0" fontId="7" fillId="0" borderId="14" xfId="0" applyFont="1" applyFill="1" applyBorder="1" applyAlignment="1" applyProtection="1">
      <alignment vertical="center"/>
    </xf>
    <xf numFmtId="0" fontId="5" fillId="0" borderId="2" xfId="0" applyFont="1" applyFill="1" applyBorder="1" applyAlignment="1" applyProtection="1">
      <alignment horizontal="right" vertical="center"/>
    </xf>
    <xf numFmtId="170" fontId="5" fillId="0" borderId="2" xfId="0" applyNumberFormat="1" applyFont="1" applyFill="1" applyBorder="1" applyAlignment="1" applyProtection="1">
      <alignment horizontal="center" vertical="center"/>
    </xf>
    <xf numFmtId="0" fontId="15"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2" fillId="0" borderId="15" xfId="0" applyFont="1" applyBorder="1" applyAlignment="1">
      <alignment vertical="center"/>
    </xf>
    <xf numFmtId="0" fontId="12" fillId="0" borderId="13" xfId="0" applyFont="1" applyBorder="1" applyAlignment="1">
      <alignment vertical="center"/>
    </xf>
    <xf numFmtId="0" fontId="12" fillId="0" borderId="21" xfId="0" applyFont="1" applyBorder="1" applyAlignment="1">
      <alignment vertical="center" wrapText="1"/>
    </xf>
    <xf numFmtId="0" fontId="18" fillId="3" borderId="26" xfId="0" applyFont="1" applyFill="1" applyBorder="1" applyAlignment="1" applyProtection="1">
      <alignment vertical="center"/>
      <protection locked="0"/>
    </xf>
    <xf numFmtId="0" fontId="18" fillId="3" borderId="27" xfId="0" applyFont="1" applyFill="1" applyBorder="1" applyAlignment="1" applyProtection="1">
      <alignment vertical="center"/>
      <protection locked="0"/>
    </xf>
    <xf numFmtId="0" fontId="18" fillId="3" borderId="7" xfId="0" applyFont="1" applyFill="1" applyBorder="1" applyAlignment="1" applyProtection="1">
      <alignment vertical="center"/>
      <protection locked="0"/>
    </xf>
    <xf numFmtId="0" fontId="7" fillId="0" borderId="29" xfId="0" applyFont="1" applyBorder="1" applyAlignment="1">
      <alignment horizontal="right" vertical="center"/>
    </xf>
    <xf numFmtId="0" fontId="12" fillId="0" borderId="28" xfId="0" applyFont="1" applyBorder="1" applyAlignment="1">
      <alignment vertical="center"/>
    </xf>
    <xf numFmtId="0" fontId="12" fillId="0" borderId="30" xfId="0" applyFont="1" applyBorder="1" applyAlignment="1">
      <alignment horizontal="right" vertical="center"/>
    </xf>
    <xf numFmtId="0" fontId="12" fillId="0" borderId="30" xfId="0" applyFont="1" applyBorder="1" applyAlignment="1">
      <alignment vertical="center"/>
    </xf>
    <xf numFmtId="0" fontId="7" fillId="0" borderId="0" xfId="0" applyFont="1" applyBorder="1" applyAlignment="1">
      <alignment horizontal="right" vertical="center"/>
    </xf>
    <xf numFmtId="0" fontId="18" fillId="3" borderId="16" xfId="0" applyFont="1" applyFill="1" applyBorder="1" applyAlignment="1" applyProtection="1">
      <alignment vertical="center"/>
      <protection locked="0"/>
    </xf>
    <xf numFmtId="0" fontId="18" fillId="3" borderId="31" xfId="0" applyFont="1" applyFill="1" applyBorder="1" applyAlignment="1" applyProtection="1">
      <alignment vertical="center"/>
      <protection locked="0"/>
    </xf>
    <xf numFmtId="0" fontId="18" fillId="3" borderId="32" xfId="0" applyFont="1" applyFill="1" applyBorder="1" applyAlignment="1" applyProtection="1">
      <alignment vertical="center"/>
      <protection locked="0"/>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17" xfId="0" applyFont="1" applyBorder="1" applyAlignment="1">
      <alignment horizontal="right" vertical="center"/>
    </xf>
    <xf numFmtId="0" fontId="7" fillId="0" borderId="15" xfId="0" applyFont="1" applyBorder="1" applyAlignment="1">
      <alignment horizontal="right" vertical="center"/>
    </xf>
    <xf numFmtId="0" fontId="7" fillId="0" borderId="11" xfId="0" applyFont="1" applyBorder="1" applyAlignment="1">
      <alignment horizontal="right" vertical="center"/>
    </xf>
    <xf numFmtId="1" fontId="7" fillId="0" borderId="5" xfId="0" applyNumberFormat="1" applyFont="1" applyBorder="1" applyAlignment="1">
      <alignment horizontal="left" vertical="center"/>
    </xf>
    <xf numFmtId="0" fontId="12" fillId="0" borderId="5" xfId="0" applyFont="1" applyBorder="1" applyAlignment="1">
      <alignment vertical="center"/>
    </xf>
    <xf numFmtId="0" fontId="12" fillId="0" borderId="34" xfId="0" applyFont="1" applyBorder="1" applyAlignment="1">
      <alignment vertical="center"/>
    </xf>
    <xf numFmtId="0" fontId="18" fillId="3" borderId="35" xfId="0" applyFont="1" applyFill="1" applyBorder="1" applyAlignment="1" applyProtection="1">
      <alignment vertical="center"/>
      <protection locked="0"/>
    </xf>
    <xf numFmtId="0" fontId="18" fillId="3" borderId="37" xfId="0" applyFont="1" applyFill="1" applyBorder="1" applyAlignment="1" applyProtection="1">
      <alignment vertical="center"/>
      <protection locked="0"/>
    </xf>
    <xf numFmtId="0" fontId="18" fillId="3" borderId="13" xfId="0" applyFont="1" applyFill="1" applyBorder="1" applyAlignment="1" applyProtection="1">
      <alignment vertical="center"/>
      <protection locked="0"/>
    </xf>
    <xf numFmtId="0" fontId="18" fillId="3" borderId="10" xfId="0" applyFont="1" applyFill="1" applyBorder="1" applyAlignment="1" applyProtection="1">
      <alignment vertical="center"/>
      <protection locked="0"/>
    </xf>
    <xf numFmtId="0" fontId="18" fillId="3" borderId="18" xfId="0" applyFont="1" applyFill="1" applyBorder="1" applyAlignment="1" applyProtection="1">
      <alignment vertical="center"/>
      <protection locked="0"/>
    </xf>
    <xf numFmtId="0" fontId="18" fillId="3" borderId="22" xfId="0" applyFont="1" applyFill="1" applyBorder="1" applyAlignment="1" applyProtection="1">
      <alignment vertical="center"/>
      <protection locked="0"/>
    </xf>
    <xf numFmtId="0" fontId="18" fillId="3" borderId="38" xfId="0" applyFont="1" applyFill="1" applyBorder="1" applyAlignment="1" applyProtection="1">
      <alignment vertical="center"/>
      <protection locked="0"/>
    </xf>
    <xf numFmtId="0" fontId="7" fillId="0" borderId="13" xfId="0" applyFont="1" applyBorder="1" applyAlignment="1">
      <alignment horizontal="right" vertical="center"/>
    </xf>
    <xf numFmtId="0" fontId="7" fillId="0" borderId="35" xfId="0" applyFont="1" applyBorder="1" applyAlignment="1">
      <alignment horizontal="right" vertical="center"/>
    </xf>
    <xf numFmtId="0" fontId="5" fillId="3" borderId="35" xfId="0" applyFont="1" applyFill="1" applyBorder="1" applyAlignment="1" applyProtection="1">
      <alignment vertical="center"/>
    </xf>
    <xf numFmtId="0" fontId="5" fillId="3" borderId="36" xfId="0" applyFont="1" applyFill="1" applyBorder="1" applyAlignment="1" applyProtection="1">
      <alignment vertical="center"/>
    </xf>
    <xf numFmtId="0" fontId="18" fillId="0" borderId="0" xfId="0" applyFont="1" applyBorder="1" applyAlignment="1" applyProtection="1">
      <alignment vertical="center"/>
      <protection locked="0"/>
    </xf>
    <xf numFmtId="0" fontId="12" fillId="0" borderId="4" xfId="0" applyFont="1" applyBorder="1" applyAlignment="1">
      <alignment horizontal="right" vertical="center"/>
    </xf>
    <xf numFmtId="0" fontId="12" fillId="0" borderId="11" xfId="0" applyFont="1" applyBorder="1" applyAlignment="1">
      <alignment vertical="center"/>
    </xf>
    <xf numFmtId="0" fontId="18" fillId="3" borderId="39" xfId="0" applyFont="1" applyFill="1" applyBorder="1" applyAlignment="1" applyProtection="1">
      <alignment vertical="center"/>
      <protection locked="0"/>
    </xf>
    <xf numFmtId="0" fontId="18" fillId="3" borderId="40" xfId="0" applyFont="1" applyFill="1" applyBorder="1" applyAlignment="1" applyProtection="1">
      <alignment vertical="center"/>
      <protection locked="0"/>
    </xf>
    <xf numFmtId="0" fontId="18" fillId="3" borderId="41" xfId="0" applyFont="1" applyFill="1" applyBorder="1" applyAlignment="1" applyProtection="1">
      <alignment vertical="center"/>
      <protection locked="0"/>
    </xf>
    <xf numFmtId="0" fontId="18" fillId="3" borderId="42" xfId="0" applyFont="1" applyFill="1" applyBorder="1" applyAlignment="1" applyProtection="1">
      <alignment vertical="center"/>
      <protection locked="0"/>
    </xf>
    <xf numFmtId="0" fontId="12" fillId="0" borderId="0" xfId="0" applyFont="1" applyFill="1" applyBorder="1" applyAlignment="1">
      <alignment horizontal="right" vertical="center"/>
    </xf>
    <xf numFmtId="0" fontId="50" fillId="0" borderId="0" xfId="0" applyFont="1" applyBorder="1" applyAlignment="1">
      <alignment horizontal="left" vertical="center"/>
    </xf>
    <xf numFmtId="0" fontId="49" fillId="0" borderId="4" xfId="0" applyFont="1" applyBorder="1" applyAlignment="1" applyProtection="1">
      <alignment horizontal="left" vertical="center"/>
    </xf>
    <xf numFmtId="0" fontId="12" fillId="0" borderId="0" xfId="0" applyFont="1" applyBorder="1" applyAlignment="1">
      <alignment horizontal="center" vertical="center"/>
    </xf>
    <xf numFmtId="0" fontId="12" fillId="0" borderId="17" xfId="0" applyFont="1" applyBorder="1" applyAlignment="1">
      <alignment vertical="center"/>
    </xf>
    <xf numFmtId="0" fontId="15" fillId="0" borderId="14"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wrapText="1"/>
    </xf>
    <xf numFmtId="0" fontId="12" fillId="0" borderId="47" xfId="0" applyFont="1" applyBorder="1" applyAlignment="1">
      <alignment vertical="center"/>
    </xf>
    <xf numFmtId="0" fontId="15" fillId="0" borderId="46" xfId="0" applyFont="1" applyBorder="1" applyAlignment="1">
      <alignment horizontal="left" vertical="center"/>
    </xf>
    <xf numFmtId="14" fontId="18" fillId="3" borderId="48" xfId="0" applyNumberFormat="1" applyFont="1" applyFill="1" applyBorder="1" applyAlignment="1" applyProtection="1">
      <alignment vertical="center"/>
      <protection locked="0"/>
    </xf>
    <xf numFmtId="0" fontId="18" fillId="3" borderId="49" xfId="0" applyFont="1" applyFill="1" applyBorder="1" applyAlignment="1" applyProtection="1">
      <alignment vertical="center"/>
      <protection locked="0"/>
    </xf>
    <xf numFmtId="0" fontId="18" fillId="3" borderId="50" xfId="0" applyFont="1" applyFill="1" applyBorder="1" applyAlignment="1" applyProtection="1">
      <alignment vertical="center"/>
      <protection locked="0"/>
    </xf>
    <xf numFmtId="0" fontId="15" fillId="0" borderId="9" xfId="0" applyFont="1" applyBorder="1" applyAlignment="1">
      <alignment horizontal="left" vertical="center"/>
    </xf>
    <xf numFmtId="0" fontId="12" fillId="0" borderId="4" xfId="0" applyFont="1" applyBorder="1" applyAlignment="1">
      <alignment vertical="center"/>
    </xf>
    <xf numFmtId="0" fontId="41" fillId="0" borderId="17" xfId="0" applyFont="1" applyBorder="1" applyAlignment="1" applyProtection="1">
      <alignment horizontal="left" vertical="center"/>
    </xf>
    <xf numFmtId="0" fontId="17" fillId="0" borderId="15" xfId="0" applyFont="1" applyBorder="1" applyAlignment="1" applyProtection="1">
      <alignment horizontal="center" vertical="center"/>
    </xf>
    <xf numFmtId="0" fontId="49" fillId="0" borderId="15" xfId="0" applyFont="1" applyBorder="1" applyAlignment="1" applyProtection="1">
      <alignment horizontal="left" vertical="center"/>
    </xf>
    <xf numFmtId="1" fontId="16" fillId="0" borderId="0" xfId="0" applyNumberFormat="1" applyFont="1" applyBorder="1" applyAlignment="1" applyProtection="1">
      <alignment horizontal="left" vertical="center"/>
    </xf>
    <xf numFmtId="0" fontId="43" fillId="0" borderId="21" xfId="0" applyNumberFormat="1" applyFont="1" applyFill="1" applyBorder="1" applyAlignment="1" applyProtection="1">
      <alignment horizontal="center"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0" fontId="12" fillId="0" borderId="0" xfId="0" applyFont="1" applyFill="1" applyBorder="1" applyAlignment="1" applyProtection="1">
      <alignment vertical="center"/>
    </xf>
    <xf numFmtId="49" fontId="12" fillId="0" borderId="8" xfId="0" applyNumberFormat="1" applyFont="1" applyBorder="1" applyAlignment="1" applyProtection="1">
      <alignment vertical="center"/>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49" fontId="7" fillId="0" borderId="50"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wrapText="1"/>
    </xf>
    <xf numFmtId="49" fontId="7" fillId="0" borderId="51" xfId="0" applyNumberFormat="1" applyFont="1" applyBorder="1" applyAlignment="1" applyProtection="1">
      <alignment horizontal="center" vertical="center"/>
    </xf>
    <xf numFmtId="49" fontId="7" fillId="0" borderId="50" xfId="0" applyNumberFormat="1" applyFont="1" applyBorder="1" applyAlignment="1" applyProtection="1">
      <alignment horizontal="center" vertical="center"/>
    </xf>
    <xf numFmtId="0" fontId="12" fillId="0" borderId="56" xfId="0" applyFont="1" applyBorder="1" applyAlignment="1" applyProtection="1">
      <alignment vertical="center"/>
    </xf>
    <xf numFmtId="49" fontId="7" fillId="0" borderId="53" xfId="0" applyNumberFormat="1" applyFont="1" applyBorder="1" applyAlignment="1" applyProtection="1">
      <alignmen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right" vertical="center"/>
    </xf>
    <xf numFmtId="1" fontId="7" fillId="0" borderId="0" xfId="0" applyNumberFormat="1" applyFont="1" applyBorder="1" applyAlignment="1">
      <alignment horizontal="right" vertical="center"/>
    </xf>
    <xf numFmtId="0" fontId="14" fillId="0" borderId="0" xfId="0" applyFont="1" applyBorder="1" applyAlignment="1">
      <alignment horizontal="left" vertical="center"/>
    </xf>
    <xf numFmtId="14" fontId="14" fillId="3" borderId="21" xfId="0" applyNumberFormat="1" applyFont="1" applyFill="1" applyBorder="1" applyAlignment="1" applyProtection="1">
      <alignment vertical="center"/>
      <protection locked="0"/>
    </xf>
    <xf numFmtId="0" fontId="15" fillId="0" borderId="0" xfId="0" applyFont="1" applyBorder="1" applyAlignment="1">
      <alignment horizontal="right" vertical="center"/>
    </xf>
    <xf numFmtId="0" fontId="14" fillId="3" borderId="21" xfId="0" applyFont="1" applyFill="1" applyBorder="1" applyAlignment="1" applyProtection="1">
      <alignment vertical="center"/>
      <protection locked="0"/>
    </xf>
    <xf numFmtId="0" fontId="14" fillId="0" borderId="11" xfId="0" applyFont="1" applyBorder="1" applyAlignment="1">
      <alignment vertical="center"/>
    </xf>
    <xf numFmtId="0" fontId="14" fillId="0" borderId="5" xfId="0" applyFont="1" applyBorder="1" applyAlignment="1">
      <alignment vertical="center"/>
    </xf>
    <xf numFmtId="0" fontId="14" fillId="0" borderId="34" xfId="0" applyFont="1" applyBorder="1" applyAlignment="1">
      <alignment vertical="center"/>
    </xf>
    <xf numFmtId="0" fontId="14" fillId="0" borderId="28" xfId="0" applyFont="1" applyBorder="1" applyAlignment="1">
      <alignment vertical="center"/>
    </xf>
    <xf numFmtId="14" fontId="19" fillId="3" borderId="48" xfId="0" applyNumberFormat="1" applyFont="1" applyFill="1" applyBorder="1" applyAlignment="1" applyProtection="1">
      <alignment vertical="center"/>
      <protection locked="0"/>
    </xf>
    <xf numFmtId="0" fontId="19" fillId="3" borderId="39" xfId="0" applyFont="1" applyFill="1" applyBorder="1" applyAlignment="1" applyProtection="1">
      <alignment vertical="center"/>
      <protection locked="0"/>
    </xf>
    <xf numFmtId="0" fontId="19" fillId="3" borderId="26" xfId="0" applyFont="1" applyFill="1" applyBorder="1" applyAlignment="1" applyProtection="1">
      <alignment vertical="center"/>
      <protection locked="0"/>
    </xf>
    <xf numFmtId="14" fontId="19" fillId="3" borderId="49" xfId="0" applyNumberFormat="1" applyFont="1" applyFill="1" applyBorder="1" applyAlignment="1" applyProtection="1">
      <alignment vertical="center"/>
      <protection locked="0"/>
    </xf>
    <xf numFmtId="0" fontId="19" fillId="3" borderId="31"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5" fillId="0" borderId="14" xfId="0" applyFont="1" applyBorder="1" applyAlignment="1">
      <alignment horizontal="right" vertical="center"/>
    </xf>
    <xf numFmtId="0" fontId="15" fillId="0" borderId="13" xfId="0" applyFont="1" applyBorder="1" applyAlignment="1">
      <alignment horizontal="right" vertical="center"/>
    </xf>
    <xf numFmtId="0" fontId="34" fillId="0" borderId="46" xfId="0" applyFont="1" applyFill="1" applyBorder="1" applyAlignment="1">
      <alignment vertical="center"/>
    </xf>
    <xf numFmtId="14" fontId="18" fillId="3" borderId="49" xfId="0" applyNumberFormat="1" applyFont="1" applyFill="1" applyBorder="1" applyAlignment="1" applyProtection="1">
      <alignment vertical="center"/>
      <protection locked="0"/>
    </xf>
    <xf numFmtId="0" fontId="18" fillId="3" borderId="57" xfId="0" applyFont="1" applyFill="1" applyBorder="1" applyAlignment="1" applyProtection="1">
      <alignment vertical="center"/>
      <protection locked="0"/>
    </xf>
    <xf numFmtId="0" fontId="18" fillId="3" borderId="58" xfId="0" applyFont="1" applyFill="1" applyBorder="1" applyAlignment="1" applyProtection="1">
      <alignment vertical="center"/>
      <protection locked="0"/>
    </xf>
    <xf numFmtId="0" fontId="18" fillId="3" borderId="59" xfId="0" applyFont="1" applyFill="1" applyBorder="1" applyAlignment="1" applyProtection="1">
      <alignment vertical="center"/>
      <protection locked="0"/>
    </xf>
    <xf numFmtId="0" fontId="18" fillId="3" borderId="60" xfId="0" applyFont="1" applyFill="1" applyBorder="1" applyAlignment="1" applyProtection="1">
      <alignment vertical="center"/>
      <protection locked="0"/>
    </xf>
    <xf numFmtId="0" fontId="7" fillId="0" borderId="14" xfId="0" applyFont="1" applyBorder="1" applyAlignment="1">
      <alignment horizontal="right" vertical="center"/>
    </xf>
    <xf numFmtId="0" fontId="19" fillId="3" borderId="57" xfId="0" applyFont="1" applyFill="1" applyBorder="1" applyAlignment="1" applyProtection="1">
      <alignment vertical="center"/>
      <protection locked="0"/>
    </xf>
    <xf numFmtId="0" fontId="19" fillId="3" borderId="42"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58" xfId="0" applyFont="1" applyFill="1" applyBorder="1" applyAlignment="1" applyProtection="1">
      <alignment vertical="center"/>
      <protection locked="0"/>
    </xf>
    <xf numFmtId="0" fontId="19" fillId="3" borderId="59" xfId="0" applyFont="1" applyFill="1" applyBorder="1" applyAlignment="1" applyProtection="1">
      <alignment vertical="center"/>
      <protection locked="0"/>
    </xf>
    <xf numFmtId="0" fontId="19" fillId="3" borderId="60" xfId="0" applyFont="1" applyFill="1" applyBorder="1" applyAlignment="1" applyProtection="1">
      <alignment vertical="center"/>
      <protection locked="0"/>
    </xf>
    <xf numFmtId="0" fontId="15" fillId="0" borderId="11" xfId="0" applyFont="1" applyBorder="1" applyAlignment="1">
      <alignment horizontal="right" vertical="center"/>
    </xf>
    <xf numFmtId="0" fontId="15" fillId="0" borderId="5" xfId="0" applyFont="1" applyBorder="1" applyAlignment="1">
      <alignment horizontal="right" vertical="center"/>
    </xf>
    <xf numFmtId="14" fontId="18" fillId="3" borderId="62" xfId="0" applyNumberFormat="1" applyFont="1" applyFill="1" applyBorder="1" applyAlignment="1" applyProtection="1">
      <alignment vertical="center"/>
      <protection locked="0"/>
    </xf>
    <xf numFmtId="1" fontId="50" fillId="0" borderId="0" xfId="0" applyNumberFormat="1" applyFont="1" applyBorder="1" applyAlignment="1">
      <alignment horizontal="left" vertical="center"/>
    </xf>
    <xf numFmtId="0" fontId="41" fillId="0" borderId="15" xfId="0" applyFont="1" applyBorder="1" applyAlignment="1" applyProtection="1">
      <alignment horizontal="left" vertical="center"/>
    </xf>
    <xf numFmtId="0" fontId="7" fillId="0" borderId="63" xfId="0" applyFont="1" applyBorder="1" applyAlignment="1" applyProtection="1">
      <alignment horizontal="center" vertical="center" wrapText="1"/>
    </xf>
    <xf numFmtId="49" fontId="7" fillId="0" borderId="63" xfId="0" applyNumberFormat="1" applyFont="1" applyBorder="1" applyAlignment="1" applyProtection="1">
      <alignment vertical="center"/>
    </xf>
    <xf numFmtId="49" fontId="7" fillId="0" borderId="64" xfId="0" applyNumberFormat="1" applyFont="1" applyFill="1" applyBorder="1" applyAlignment="1" applyProtection="1">
      <alignment horizontal="center" vertical="center" wrapText="1"/>
    </xf>
    <xf numFmtId="15" fontId="7" fillId="4" borderId="22" xfId="0" applyNumberFormat="1" applyFont="1" applyFill="1" applyBorder="1" applyAlignment="1" applyProtection="1">
      <alignment horizontal="center" vertical="center"/>
      <protection locked="0"/>
    </xf>
    <xf numFmtId="15" fontId="7" fillId="4" borderId="35" xfId="0" applyNumberFormat="1"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xf>
    <xf numFmtId="0" fontId="5" fillId="0" borderId="65" xfId="0" applyFont="1" applyFill="1" applyBorder="1" applyAlignment="1" applyProtection="1">
      <alignment vertical="center"/>
    </xf>
    <xf numFmtId="0" fontId="35" fillId="0" borderId="65" xfId="0" applyFont="1" applyFill="1" applyBorder="1" applyAlignment="1" applyProtection="1">
      <alignment vertical="center"/>
    </xf>
    <xf numFmtId="0" fontId="21" fillId="0" borderId="65" xfId="0" applyFont="1" applyFill="1" applyBorder="1" applyAlignment="1" applyProtection="1">
      <alignment vertical="center"/>
    </xf>
    <xf numFmtId="0" fontId="6"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32" fillId="0" borderId="18" xfId="0" applyFont="1" applyBorder="1" applyAlignment="1" applyProtection="1">
      <alignment horizontal="center" vertical="center"/>
    </xf>
    <xf numFmtId="0" fontId="14" fillId="0" borderId="66" xfId="0" applyFont="1" applyBorder="1" applyAlignment="1" applyProtection="1">
      <alignment horizontal="right" vertical="center"/>
    </xf>
    <xf numFmtId="0" fontId="29" fillId="0" borderId="5" xfId="13"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0" fillId="0" borderId="0" xfId="0" applyBorder="1"/>
    <xf numFmtId="49" fontId="15" fillId="0" borderId="0" xfId="0" applyNumberFormat="1" applyFont="1" applyBorder="1" applyAlignment="1" applyProtection="1">
      <alignment vertical="center"/>
    </xf>
    <xf numFmtId="0" fontId="15" fillId="0" borderId="17" xfId="0" applyFont="1" applyFill="1" applyBorder="1" applyAlignment="1" applyProtection="1">
      <alignment horizontal="left" vertical="center"/>
    </xf>
    <xf numFmtId="175" fontId="15" fillId="0" borderId="34" xfId="0" applyNumberFormat="1" applyFont="1" applyBorder="1" applyAlignment="1" applyProtection="1">
      <alignment vertical="center"/>
    </xf>
    <xf numFmtId="0" fontId="15" fillId="0" borderId="11" xfId="0" applyFont="1" applyBorder="1" applyAlignment="1" applyProtection="1">
      <alignment horizontal="left" vertical="center"/>
    </xf>
    <xf numFmtId="49" fontId="15" fillId="0" borderId="0" xfId="0" applyNumberFormat="1" applyFont="1" applyBorder="1" applyAlignment="1" applyProtection="1">
      <alignment horizontal="right" vertical="center"/>
    </xf>
    <xf numFmtId="175" fontId="15" fillId="0" borderId="8" xfId="0" applyNumberFormat="1" applyFont="1" applyBorder="1" applyAlignment="1" applyProtection="1">
      <alignment vertical="center"/>
    </xf>
    <xf numFmtId="0" fontId="31" fillId="0" borderId="8" xfId="0" applyFont="1" applyBorder="1" applyAlignment="1" applyProtection="1">
      <alignment vertical="center"/>
    </xf>
    <xf numFmtId="173" fontId="5" fillId="0" borderId="2" xfId="0" applyNumberFormat="1" applyFont="1" applyFill="1" applyBorder="1" applyAlignment="1" applyProtection="1">
      <alignment vertical="center"/>
    </xf>
    <xf numFmtId="173" fontId="4" fillId="0" borderId="2" xfId="0" applyNumberFormat="1" applyFont="1" applyFill="1" applyBorder="1" applyAlignment="1" applyProtection="1">
      <alignment horizontal="left" vertical="center"/>
    </xf>
    <xf numFmtId="0" fontId="15" fillId="0" borderId="15" xfId="0" applyFont="1" applyBorder="1" applyAlignment="1" applyProtection="1">
      <alignment horizontal="right" vertical="center"/>
    </xf>
    <xf numFmtId="0" fontId="14" fillId="0" borderId="34" xfId="0" applyFont="1" applyBorder="1" applyAlignment="1" applyProtection="1">
      <alignment vertical="center"/>
    </xf>
    <xf numFmtId="0" fontId="12" fillId="0" borderId="0" xfId="0" applyFont="1" applyBorder="1" applyAlignment="1">
      <alignment vertical="center" wrapText="1"/>
    </xf>
    <xf numFmtId="0" fontId="12" fillId="0" borderId="0" xfId="0" applyFont="1" applyAlignment="1">
      <alignment vertical="center" wrapText="1"/>
    </xf>
    <xf numFmtId="0" fontId="12" fillId="0" borderId="0" xfId="0" applyNumberFormat="1" applyFont="1" applyAlignment="1">
      <alignment vertical="center" wrapText="1"/>
    </xf>
    <xf numFmtId="0" fontId="41" fillId="0" borderId="0" xfId="0" applyFont="1" applyAlignment="1">
      <alignment vertical="center" wrapText="1"/>
    </xf>
    <xf numFmtId="0" fontId="12" fillId="0" borderId="0" xfId="0" applyFont="1" applyAlignment="1">
      <alignment horizontal="center" vertical="center" wrapText="1"/>
    </xf>
    <xf numFmtId="0" fontId="12" fillId="0" borderId="0" xfId="0" applyNumberFormat="1" applyFont="1" applyBorder="1" applyAlignment="1">
      <alignment vertical="center" wrapText="1"/>
    </xf>
    <xf numFmtId="0" fontId="13" fillId="0" borderId="0" xfId="0" applyNumberFormat="1" applyFont="1" applyAlignment="1">
      <alignment vertical="center" wrapText="1"/>
    </xf>
    <xf numFmtId="0" fontId="15" fillId="0" borderId="4" xfId="0" applyFont="1" applyBorder="1" applyAlignment="1" applyProtection="1">
      <alignment horizontal="right" vertical="center"/>
    </xf>
    <xf numFmtId="0" fontId="4" fillId="0" borderId="0" xfId="0" applyFont="1" applyFill="1" applyBorder="1" applyAlignment="1" applyProtection="1">
      <alignment horizontal="right" vertical="center"/>
    </xf>
    <xf numFmtId="9" fontId="5" fillId="0" borderId="0" xfId="15" applyFont="1" applyFill="1" applyBorder="1" applyAlignment="1" applyProtection="1">
      <alignment horizontal="center" vertical="center"/>
    </xf>
    <xf numFmtId="3" fontId="27" fillId="0" borderId="0" xfId="14" applyNumberFormat="1" applyFont="1" applyBorder="1" applyProtection="1"/>
    <xf numFmtId="0" fontId="12" fillId="0" borderId="0" xfId="0" applyFont="1"/>
    <xf numFmtId="0" fontId="26" fillId="0" borderId="65" xfId="0" applyFont="1" applyFill="1" applyBorder="1" applyAlignment="1" applyProtection="1">
      <alignment horizontal="right" vertical="center"/>
    </xf>
    <xf numFmtId="173" fontId="29" fillId="0" borderId="2" xfId="0" applyNumberFormat="1" applyFont="1" applyFill="1" applyBorder="1" applyAlignment="1" applyProtection="1">
      <alignment horizontal="right" vertical="center"/>
    </xf>
    <xf numFmtId="0" fontId="58" fillId="0" borderId="20" xfId="0" applyFont="1" applyFill="1" applyBorder="1" applyAlignment="1" applyProtection="1">
      <alignment horizontal="right" vertical="center"/>
    </xf>
    <xf numFmtId="0" fontId="15" fillId="0" borderId="5" xfId="0" applyFont="1" applyBorder="1" applyAlignment="1" applyProtection="1">
      <alignment horizontal="right" vertical="center"/>
    </xf>
    <xf numFmtId="0" fontId="31" fillId="0" borderId="0" xfId="0" applyFont="1" applyBorder="1" applyAlignment="1" applyProtection="1">
      <alignment vertical="center"/>
    </xf>
    <xf numFmtId="0" fontId="63" fillId="0" borderId="0" xfId="0" applyFont="1" applyAlignment="1">
      <alignment vertical="center" wrapText="1"/>
    </xf>
    <xf numFmtId="0" fontId="64" fillId="0" borderId="0" xfId="0" applyFont="1"/>
    <xf numFmtId="173" fontId="14" fillId="0" borderId="0" xfId="0" applyNumberFormat="1" applyFont="1" applyFill="1" applyBorder="1" applyAlignment="1" applyProtection="1">
      <alignment horizontal="left" vertical="center"/>
    </xf>
    <xf numFmtId="173" fontId="4" fillId="0" borderId="68" xfId="0" applyNumberFormat="1" applyFont="1" applyFill="1" applyBorder="1" applyAlignment="1" applyProtection="1">
      <alignment horizontal="left" vertical="center"/>
    </xf>
    <xf numFmtId="173" fontId="4" fillId="0" borderId="68" xfId="0" applyNumberFormat="1" applyFont="1" applyFill="1" applyBorder="1" applyAlignment="1" applyProtection="1">
      <alignment vertical="center"/>
    </xf>
    <xf numFmtId="173" fontId="29" fillId="0" borderId="5" xfId="0" applyNumberFormat="1" applyFont="1" applyFill="1" applyBorder="1" applyAlignment="1" applyProtection="1">
      <alignment horizontal="right" vertical="center"/>
    </xf>
    <xf numFmtId="0" fontId="5" fillId="0" borderId="10" xfId="0" applyFont="1" applyFill="1" applyBorder="1" applyAlignment="1" applyProtection="1">
      <alignment horizontal="center" vertical="center"/>
    </xf>
    <xf numFmtId="9" fontId="5" fillId="0" borderId="10" xfId="15" applyFont="1" applyFill="1" applyBorder="1" applyAlignment="1" applyProtection="1">
      <alignment vertical="center"/>
    </xf>
    <xf numFmtId="9" fontId="7" fillId="0" borderId="4" xfId="0" applyNumberFormat="1" applyFont="1" applyFill="1" applyBorder="1" applyAlignment="1" applyProtection="1">
      <alignment vertical="center"/>
    </xf>
    <xf numFmtId="0" fontId="4" fillId="0" borderId="8" xfId="0" applyFont="1" applyFill="1" applyBorder="1" applyAlignment="1" applyProtection="1">
      <alignment vertical="center"/>
    </xf>
    <xf numFmtId="2" fontId="4" fillId="0" borderId="0" xfId="0" applyNumberFormat="1" applyFont="1" applyFill="1" applyBorder="1" applyAlignment="1" applyProtection="1">
      <alignment vertical="center"/>
    </xf>
    <xf numFmtId="170" fontId="6" fillId="0" borderId="5" xfId="0" applyNumberFormat="1" applyFont="1" applyFill="1" applyBorder="1" applyAlignment="1" applyProtection="1">
      <alignment horizontal="right" vertical="center"/>
    </xf>
    <xf numFmtId="0" fontId="7" fillId="0" borderId="5" xfId="0" applyFont="1" applyBorder="1" applyAlignment="1" applyProtection="1">
      <alignment horizontal="right" vertical="center"/>
    </xf>
    <xf numFmtId="0" fontId="29" fillId="0" borderId="0" xfId="0" applyFont="1" applyFill="1" applyBorder="1" applyAlignment="1" applyProtection="1">
      <alignment vertical="center"/>
    </xf>
    <xf numFmtId="170" fontId="25" fillId="0" borderId="5" xfId="0" applyNumberFormat="1" applyFont="1" applyFill="1" applyBorder="1" applyAlignment="1" applyProtection="1">
      <alignment horizontal="right" vertical="center"/>
    </xf>
    <xf numFmtId="0" fontId="25" fillId="0" borderId="5" xfId="0" applyFont="1" applyBorder="1" applyAlignment="1" applyProtection="1">
      <alignment horizontal="right" vertical="center"/>
    </xf>
    <xf numFmtId="0" fontId="5" fillId="0" borderId="52"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1" xfId="0" applyFont="1" applyBorder="1" applyAlignment="1" applyProtection="1">
      <alignment vertical="center"/>
    </xf>
    <xf numFmtId="9" fontId="4" fillId="0" borderId="1" xfId="15" applyFont="1" applyBorder="1" applyAlignment="1" applyProtection="1">
      <alignment vertical="center"/>
    </xf>
    <xf numFmtId="0" fontId="4" fillId="0" borderId="1" xfId="0" applyFont="1" applyFill="1" applyBorder="1" applyAlignment="1" applyProtection="1">
      <alignment horizontal="center" vertical="center"/>
    </xf>
    <xf numFmtId="173" fontId="4" fillId="0" borderId="1" xfId="0" applyNumberFormat="1" applyFont="1" applyFill="1" applyBorder="1" applyAlignment="1" applyProtection="1">
      <alignment horizontal="left" vertical="center"/>
    </xf>
    <xf numFmtId="0" fontId="4" fillId="0" borderId="52" xfId="0" applyFont="1" applyBorder="1" applyAlignment="1" applyProtection="1">
      <alignment vertical="center"/>
    </xf>
    <xf numFmtId="173" fontId="4" fillId="0" borderId="1" xfId="0" applyNumberFormat="1" applyFont="1" applyBorder="1" applyAlignment="1" applyProtection="1">
      <alignment vertical="center"/>
    </xf>
    <xf numFmtId="173" fontId="4" fillId="0" borderId="1" xfId="0" applyNumberFormat="1" applyFont="1" applyBorder="1" applyAlignment="1" applyProtection="1">
      <alignment horizontal="center" vertical="center"/>
    </xf>
    <xf numFmtId="10" fontId="58" fillId="0" borderId="65" xfId="0" applyNumberFormat="1" applyFont="1" applyFill="1" applyBorder="1" applyAlignment="1" applyProtection="1">
      <alignment vertical="center"/>
    </xf>
    <xf numFmtId="0" fontId="26" fillId="0" borderId="2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12" fillId="0" borderId="4" xfId="0" applyFont="1" applyBorder="1" applyAlignment="1" applyProtection="1">
      <alignment vertical="center"/>
    </xf>
    <xf numFmtId="0" fontId="12"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0" fontId="31" fillId="0" borderId="15" xfId="0" applyFont="1" applyBorder="1" applyAlignment="1" applyProtection="1">
      <alignment horizontal="left" vertical="center"/>
    </xf>
    <xf numFmtId="0" fontId="0" fillId="0" borderId="5" xfId="0" applyBorder="1"/>
    <xf numFmtId="9" fontId="5" fillId="0" borderId="4" xfId="0" applyNumberFormat="1"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0" fillId="0" borderId="15" xfId="0" applyFont="1" applyBorder="1" applyAlignment="1" applyProtection="1">
      <alignment horizontal="left" vertical="center"/>
    </xf>
    <xf numFmtId="0" fontId="65" fillId="0" borderId="15" xfId="0" applyFont="1" applyBorder="1" applyAlignment="1" applyProtection="1">
      <alignment horizontal="left" vertical="center"/>
    </xf>
    <xf numFmtId="0" fontId="65" fillId="0" borderId="43" xfId="0" applyFont="1" applyBorder="1" applyAlignment="1" applyProtection="1">
      <alignment horizontal="left" vertical="center"/>
    </xf>
    <xf numFmtId="0" fontId="28" fillId="0" borderId="0" xfId="0" applyFont="1" applyBorder="1" applyAlignment="1" applyProtection="1">
      <alignment horizontal="left" vertical="center"/>
    </xf>
    <xf numFmtId="0" fontId="37" fillId="0" borderId="0" xfId="0" applyFont="1" applyBorder="1" applyAlignment="1" applyProtection="1">
      <alignment horizontal="left" vertical="center"/>
    </xf>
    <xf numFmtId="0" fontId="72" fillId="0" borderId="0" xfId="0" applyFont="1" applyBorder="1" applyAlignment="1" applyProtection="1">
      <alignment horizontal="left" vertical="center"/>
    </xf>
    <xf numFmtId="176" fontId="49" fillId="0" borderId="0" xfId="13" applyNumberFormat="1" applyFont="1" applyBorder="1" applyAlignment="1" applyProtection="1">
      <alignment horizontal="left" vertical="center"/>
    </xf>
    <xf numFmtId="0" fontId="29" fillId="0" borderId="15" xfId="13" applyFont="1" applyFill="1" applyBorder="1" applyAlignment="1" applyProtection="1">
      <alignment horizontal="left" vertical="center"/>
    </xf>
    <xf numFmtId="0" fontId="15" fillId="0" borderId="15" xfId="0" applyFont="1" applyBorder="1" applyAlignment="1" applyProtection="1">
      <alignment vertical="center"/>
    </xf>
    <xf numFmtId="49" fontId="31" fillId="0" borderId="15" xfId="0" applyNumberFormat="1" applyFont="1" applyBorder="1" applyAlignment="1" applyProtection="1">
      <alignment horizontal="left" vertical="center"/>
    </xf>
    <xf numFmtId="49" fontId="14" fillId="0" borderId="15" xfId="0" applyNumberFormat="1" applyFont="1" applyBorder="1" applyAlignment="1" applyProtection="1">
      <alignment vertical="center"/>
    </xf>
    <xf numFmtId="0" fontId="14" fillId="0" borderId="15" xfId="0" applyFont="1" applyBorder="1" applyAlignment="1" applyProtection="1">
      <alignment horizontal="left" vertical="center"/>
    </xf>
    <xf numFmtId="0" fontId="61" fillId="0" borderId="15" xfId="0" applyFont="1" applyBorder="1" applyAlignment="1" applyProtection="1">
      <alignment horizontal="left" vertical="center"/>
    </xf>
    <xf numFmtId="0" fontId="15" fillId="0" borderId="58" xfId="0" applyFont="1" applyBorder="1" applyAlignment="1" applyProtection="1">
      <alignment vertical="center"/>
    </xf>
    <xf numFmtId="180" fontId="31" fillId="0" borderId="69" xfId="0" applyNumberFormat="1" applyFont="1" applyBorder="1" applyAlignment="1" applyProtection="1">
      <alignment horizontal="left" vertical="center"/>
    </xf>
    <xf numFmtId="49" fontId="31" fillId="0" borderId="45" xfId="0" applyNumberFormat="1" applyFont="1" applyBorder="1" applyAlignment="1" applyProtection="1">
      <alignment vertical="center"/>
    </xf>
    <xf numFmtId="178" fontId="31" fillId="0" borderId="70" xfId="0" applyNumberFormat="1" applyFont="1" applyBorder="1" applyAlignment="1" applyProtection="1">
      <alignment horizontal="left" vertical="center"/>
    </xf>
    <xf numFmtId="0" fontId="14" fillId="0" borderId="43" xfId="0" applyFont="1" applyBorder="1" applyAlignment="1" applyProtection="1">
      <alignment vertical="center"/>
    </xf>
    <xf numFmtId="0" fontId="31" fillId="0" borderId="45" xfId="0" applyFont="1" applyBorder="1" applyAlignment="1" applyProtection="1">
      <alignment horizontal="left" vertical="center"/>
    </xf>
    <xf numFmtId="0" fontId="31" fillId="0" borderId="71" xfId="0" applyFont="1" applyBorder="1" applyAlignment="1" applyProtection="1">
      <alignment horizontal="left" vertical="center"/>
    </xf>
    <xf numFmtId="0" fontId="15" fillId="0" borderId="11" xfId="0" applyFont="1" applyBorder="1" applyAlignment="1" applyProtection="1">
      <alignment horizontal="right" vertical="center"/>
    </xf>
    <xf numFmtId="0" fontId="12" fillId="0" borderId="72" xfId="0" applyFont="1" applyBorder="1" applyAlignment="1" applyProtection="1">
      <alignment vertical="center"/>
    </xf>
    <xf numFmtId="0" fontId="37" fillId="0" borderId="72" xfId="0" applyFont="1" applyFill="1" applyBorder="1" applyAlignment="1" applyProtection="1">
      <alignment vertical="center"/>
    </xf>
    <xf numFmtId="0" fontId="12" fillId="0" borderId="9" xfId="0" applyFont="1" applyBorder="1" applyAlignment="1" applyProtection="1">
      <alignment vertical="center"/>
    </xf>
    <xf numFmtId="0" fontId="26" fillId="0" borderId="5" xfId="0" applyFont="1" applyFill="1" applyBorder="1" applyAlignment="1" applyProtection="1">
      <alignment horizontal="right" vertical="center"/>
    </xf>
    <xf numFmtId="173" fontId="29" fillId="0" borderId="1" xfId="0" applyNumberFormat="1" applyFont="1" applyFill="1" applyBorder="1" applyAlignment="1" applyProtection="1">
      <alignment horizontal="right" vertical="center"/>
    </xf>
    <xf numFmtId="173" fontId="14" fillId="0" borderId="0" xfId="0" applyNumberFormat="1" applyFont="1"/>
    <xf numFmtId="15" fontId="7" fillId="4" borderId="69" xfId="0" applyNumberFormat="1" applyFont="1" applyFill="1" applyBorder="1" applyAlignment="1" applyProtection="1">
      <alignment horizontal="center" vertical="center"/>
      <protection locked="0"/>
    </xf>
    <xf numFmtId="173" fontId="15" fillId="0" borderId="54" xfId="0" applyNumberFormat="1" applyFont="1" applyBorder="1"/>
    <xf numFmtId="0" fontId="7" fillId="0" borderId="1" xfId="0" applyFont="1" applyBorder="1" applyAlignment="1">
      <alignment horizontal="right" vertical="center"/>
    </xf>
    <xf numFmtId="173" fontId="12" fillId="0" borderId="0" xfId="0" applyNumberFormat="1" applyFont="1" applyFill="1" applyBorder="1" applyAlignment="1">
      <alignment vertical="center"/>
    </xf>
    <xf numFmtId="0" fontId="15" fillId="0" borderId="24" xfId="0" applyFont="1" applyBorder="1" applyAlignment="1">
      <alignment horizontal="right" vertical="center"/>
    </xf>
    <xf numFmtId="0" fontId="15" fillId="0" borderId="28" xfId="0" applyFont="1" applyBorder="1" applyAlignment="1">
      <alignment horizontal="right" vertical="center"/>
    </xf>
    <xf numFmtId="0" fontId="14" fillId="0" borderId="0" xfId="0" applyFont="1"/>
    <xf numFmtId="0" fontId="15" fillId="0" borderId="28" xfId="0" applyFont="1" applyBorder="1" applyAlignment="1">
      <alignment horizontal="right"/>
    </xf>
    <xf numFmtId="0" fontId="14" fillId="0" borderId="1" xfId="0" applyFont="1" applyBorder="1"/>
    <xf numFmtId="0" fontId="15" fillId="0" borderId="1" xfId="0" applyFont="1" applyBorder="1" applyAlignment="1">
      <alignment horizontal="right" vertical="center"/>
    </xf>
    <xf numFmtId="0" fontId="0" fillId="0" borderId="0" xfId="0" applyAlignment="1">
      <alignment horizontal="right"/>
    </xf>
    <xf numFmtId="9" fontId="4" fillId="0" borderId="11" xfId="0" applyNumberFormat="1"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Border="1" applyAlignment="1" applyProtection="1">
      <alignment horizontal="center" vertical="center"/>
    </xf>
    <xf numFmtId="173" fontId="4" fillId="0" borderId="5" xfId="0" applyNumberFormat="1" applyFont="1" applyBorder="1" applyAlignment="1" applyProtection="1">
      <alignment vertical="center"/>
    </xf>
    <xf numFmtId="173" fontId="4" fillId="0" borderId="5" xfId="0" applyNumberFormat="1" applyFont="1" applyFill="1" applyBorder="1" applyAlignment="1" applyProtection="1">
      <alignment vertical="center"/>
    </xf>
    <xf numFmtId="10" fontId="4" fillId="0" borderId="5" xfId="15" applyNumberFormat="1" applyFont="1" applyFill="1" applyBorder="1" applyAlignment="1" applyProtection="1">
      <alignment vertical="center"/>
    </xf>
    <xf numFmtId="173" fontId="4" fillId="0" borderId="5" xfId="0" applyNumberFormat="1" applyFont="1" applyFill="1" applyBorder="1" applyAlignment="1" applyProtection="1">
      <alignment horizontal="right" vertical="center"/>
    </xf>
    <xf numFmtId="165" fontId="0" fillId="0" borderId="0" xfId="0" applyNumberFormat="1"/>
    <xf numFmtId="0" fontId="25" fillId="0" borderId="46" xfId="0" applyFont="1" applyFill="1" applyBorder="1" applyAlignment="1" applyProtection="1">
      <alignment horizontal="left" vertical="center"/>
    </xf>
    <xf numFmtId="0" fontId="12" fillId="0" borderId="28" xfId="0" applyFont="1" applyFill="1" applyBorder="1" applyAlignment="1" applyProtection="1">
      <alignment vertical="center"/>
    </xf>
    <xf numFmtId="0" fontId="51" fillId="0" borderId="29" xfId="0" applyFont="1" applyFill="1" applyBorder="1" applyAlignment="1" applyProtection="1">
      <alignment vertical="center"/>
    </xf>
    <xf numFmtId="0" fontId="15" fillId="0" borderId="53" xfId="0" applyFont="1" applyBorder="1" applyAlignment="1" applyProtection="1">
      <alignment vertical="center"/>
    </xf>
    <xf numFmtId="15" fontId="4" fillId="2" borderId="11" xfId="0" applyNumberFormat="1" applyFont="1" applyFill="1" applyBorder="1" applyAlignment="1" applyProtection="1">
      <alignment horizontal="left" vertical="center"/>
    </xf>
    <xf numFmtId="0" fontId="49" fillId="0" borderId="0"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0" borderId="15" xfId="0" applyFont="1" applyBorder="1" applyAlignment="1" applyProtection="1">
      <alignment vertical="center"/>
    </xf>
    <xf numFmtId="0" fontId="12" fillId="0" borderId="65" xfId="0" applyFont="1" applyBorder="1" applyAlignment="1" applyProtection="1">
      <alignment vertical="center"/>
    </xf>
    <xf numFmtId="0" fontId="36" fillId="0" borderId="74" xfId="0" applyFont="1" applyBorder="1" applyAlignment="1" applyProtection="1">
      <alignment horizontal="center" vertical="center"/>
    </xf>
    <xf numFmtId="0" fontId="14" fillId="0" borderId="66" xfId="0" applyFont="1" applyFill="1" applyBorder="1" applyAlignment="1" applyProtection="1">
      <alignment horizontal="right" vertical="center"/>
    </xf>
    <xf numFmtId="0" fontId="14" fillId="0" borderId="75" xfId="0" applyFont="1" applyFill="1" applyBorder="1" applyAlignment="1" applyProtection="1">
      <alignment horizontal="right" vertical="center"/>
    </xf>
    <xf numFmtId="0" fontId="14" fillId="0" borderId="76" xfId="0" applyFont="1" applyFill="1" applyBorder="1" applyAlignment="1" applyProtection="1">
      <alignment horizontal="right" vertical="center"/>
    </xf>
    <xf numFmtId="0" fontId="14" fillId="0" borderId="76" xfId="0" applyFont="1" applyBorder="1" applyAlignment="1" applyProtection="1">
      <alignment horizontal="right" vertical="center"/>
    </xf>
    <xf numFmtId="0" fontId="14" fillId="0" borderId="77" xfId="0" applyFont="1" applyBorder="1" applyAlignment="1" applyProtection="1">
      <alignment horizontal="right" vertical="center"/>
    </xf>
    <xf numFmtId="0" fontId="14" fillId="0" borderId="0" xfId="0" applyFont="1" applyFill="1" applyBorder="1" applyAlignment="1" applyProtection="1">
      <alignment horizontal="right" vertical="center"/>
    </xf>
    <xf numFmtId="0" fontId="27" fillId="3" borderId="78" xfId="0" applyFont="1" applyFill="1" applyBorder="1" applyAlignment="1" applyProtection="1">
      <alignment horizontal="center" vertical="center" wrapText="1"/>
      <protection locked="0"/>
    </xf>
    <xf numFmtId="0" fontId="14" fillId="0" borderId="79" xfId="0" applyFont="1" applyFill="1" applyBorder="1" applyAlignment="1" applyProtection="1">
      <alignment horizontal="right" vertical="center"/>
    </xf>
    <xf numFmtId="0" fontId="14" fillId="0" borderId="79" xfId="0" applyFont="1" applyBorder="1" applyAlignment="1" applyProtection="1">
      <alignment horizontal="right" vertical="center"/>
    </xf>
    <xf numFmtId="0" fontId="14" fillId="0" borderId="80" xfId="0" applyFont="1" applyBorder="1" applyAlignment="1" applyProtection="1">
      <alignment horizontal="right" vertical="center"/>
    </xf>
    <xf numFmtId="0" fontId="14" fillId="0" borderId="81" xfId="0" applyFont="1" applyBorder="1" applyAlignment="1" applyProtection="1">
      <alignment horizontal="right" vertical="center"/>
    </xf>
    <xf numFmtId="0" fontId="14" fillId="0" borderId="82" xfId="0" applyFont="1" applyFill="1" applyBorder="1" applyAlignment="1" applyProtection="1">
      <alignment horizontal="right" vertical="center"/>
    </xf>
    <xf numFmtId="0" fontId="14" fillId="0" borderId="22" xfId="0" applyFont="1" applyBorder="1" applyAlignment="1" applyProtection="1">
      <alignment horizontal="right" vertical="center"/>
    </xf>
    <xf numFmtId="0" fontId="14" fillId="0" borderId="37" xfId="0" applyFont="1" applyFill="1" applyBorder="1" applyAlignment="1" applyProtection="1">
      <alignment horizontal="right" vertical="center"/>
    </xf>
    <xf numFmtId="0" fontId="14" fillId="0" borderId="21" xfId="0" applyFont="1" applyBorder="1" applyAlignment="1">
      <alignment horizontal="right" vertical="center"/>
    </xf>
    <xf numFmtId="0" fontId="14" fillId="0" borderId="83" xfId="0" applyFont="1" applyBorder="1" applyAlignment="1" applyProtection="1">
      <alignment horizontal="right" vertical="center"/>
    </xf>
    <xf numFmtId="175" fontId="80" fillId="0" borderId="84" xfId="0" applyNumberFormat="1" applyFont="1" applyFill="1" applyBorder="1" applyAlignment="1" applyProtection="1">
      <alignment horizontal="center" vertical="center"/>
    </xf>
    <xf numFmtId="0" fontId="12" fillId="0" borderId="81" xfId="0" applyFont="1" applyBorder="1" applyAlignment="1">
      <alignment horizontal="right" vertical="center"/>
    </xf>
    <xf numFmtId="0" fontId="12" fillId="0" borderId="85" xfId="0" applyFont="1" applyBorder="1" applyAlignment="1" applyProtection="1">
      <alignment horizontal="right" vertical="center"/>
    </xf>
    <xf numFmtId="0" fontId="12" fillId="0" borderId="86" xfId="0" applyFont="1" applyBorder="1" applyAlignment="1">
      <alignment horizontal="right" vertical="center"/>
    </xf>
    <xf numFmtId="0" fontId="14" fillId="0" borderId="45" xfId="0" applyFont="1" applyBorder="1" applyAlignment="1">
      <alignment horizontal="left" vertical="center"/>
    </xf>
    <xf numFmtId="175" fontId="15" fillId="0" borderId="87" xfId="0" applyNumberFormat="1" applyFont="1" applyFill="1" applyBorder="1" applyAlignment="1" applyProtection="1">
      <alignment horizontal="right" vertical="center"/>
    </xf>
    <xf numFmtId="0" fontId="14" fillId="0" borderId="88" xfId="0" applyFont="1" applyBorder="1" applyAlignment="1" applyProtection="1">
      <alignment horizontal="right" vertical="center"/>
    </xf>
    <xf numFmtId="181" fontId="31" fillId="0" borderId="69" xfId="0" applyNumberFormat="1" applyFont="1" applyBorder="1" applyAlignment="1" applyProtection="1">
      <alignment horizontal="left" vertical="center"/>
    </xf>
    <xf numFmtId="49" fontId="15"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0" fontId="62" fillId="0" borderId="5" xfId="0" applyFont="1" applyFill="1" applyBorder="1" applyAlignment="1" applyProtection="1">
      <alignment horizontal="center" vertical="center" wrapText="1"/>
    </xf>
    <xf numFmtId="0" fontId="81" fillId="0" borderId="5" xfId="0" applyFont="1" applyFill="1" applyBorder="1" applyAlignment="1" applyProtection="1">
      <alignment horizontal="center" vertical="center" wrapText="1"/>
    </xf>
    <xf numFmtId="49" fontId="31" fillId="0" borderId="0" xfId="0" applyNumberFormat="1" applyFont="1" applyBorder="1" applyAlignment="1" applyProtection="1">
      <alignment vertical="center"/>
    </xf>
    <xf numFmtId="0" fontId="15" fillId="0" borderId="5" xfId="0" applyFont="1" applyFill="1" applyBorder="1" applyAlignment="1" applyProtection="1">
      <alignment horizontal="right" vertical="center"/>
    </xf>
    <xf numFmtId="0" fontId="84" fillId="0" borderId="36" xfId="0" applyFont="1" applyBorder="1" applyAlignment="1" applyProtection="1">
      <alignment horizontal="left" vertical="center"/>
    </xf>
    <xf numFmtId="0" fontId="85" fillId="0" borderId="0" xfId="0" applyFont="1" applyBorder="1" applyAlignment="1" applyProtection="1">
      <alignment vertical="center"/>
    </xf>
    <xf numFmtId="0" fontId="86" fillId="0" borderId="0" xfId="0" applyFont="1" applyBorder="1" applyAlignment="1" applyProtection="1">
      <alignment vertical="center"/>
    </xf>
    <xf numFmtId="1" fontId="84" fillId="0" borderId="37" xfId="0" applyNumberFormat="1" applyFont="1" applyFill="1" applyBorder="1" applyAlignment="1" applyProtection="1">
      <alignment horizontal="center" vertical="center"/>
    </xf>
    <xf numFmtId="0" fontId="12" fillId="0" borderId="89" xfId="0" applyFont="1" applyBorder="1" applyAlignment="1" applyProtection="1">
      <alignment horizontal="right" vertical="center" wrapText="1"/>
    </xf>
    <xf numFmtId="0" fontId="14" fillId="2" borderId="0" xfId="0" applyFont="1" applyFill="1" applyBorder="1" applyAlignment="1" applyProtection="1">
      <alignment vertical="center"/>
    </xf>
    <xf numFmtId="0" fontId="12" fillId="0" borderId="90" xfId="0" applyFont="1" applyBorder="1" applyAlignment="1">
      <alignment horizontal="right" vertical="center"/>
    </xf>
    <xf numFmtId="0" fontId="14" fillId="0" borderId="91" xfId="0" applyFont="1" applyBorder="1" applyAlignment="1" applyProtection="1">
      <alignment horizontal="right" vertical="center"/>
    </xf>
    <xf numFmtId="0" fontId="14" fillId="0" borderId="92" xfId="0" applyFont="1" applyFill="1" applyBorder="1" applyAlignment="1" applyProtection="1">
      <alignment horizontal="right" vertical="center"/>
    </xf>
    <xf numFmtId="15" fontId="46" fillId="2" borderId="34" xfId="0" applyNumberFormat="1" applyFont="1" applyFill="1" applyBorder="1" applyAlignment="1" applyProtection="1">
      <alignment horizontal="right" vertical="center"/>
    </xf>
    <xf numFmtId="0" fontId="40" fillId="0" borderId="42" xfId="0" applyFont="1" applyFill="1" applyBorder="1" applyAlignment="1" applyProtection="1">
      <alignment horizontal="center" vertical="center"/>
    </xf>
    <xf numFmtId="0" fontId="14" fillId="0" borderId="37" xfId="0" applyFont="1" applyBorder="1" applyAlignment="1">
      <alignment horizontal="right" vertical="center"/>
    </xf>
    <xf numFmtId="10" fontId="88" fillId="4" borderId="21" xfId="0" applyNumberFormat="1" applyFont="1" applyFill="1" applyBorder="1" applyAlignment="1" applyProtection="1">
      <alignment horizontal="center" vertical="center"/>
      <protection locked="0"/>
    </xf>
    <xf numFmtId="0" fontId="4" fillId="0" borderId="0" xfId="0" applyFont="1" applyAlignment="1">
      <alignment horizontal="left" indent="1"/>
    </xf>
    <xf numFmtId="49" fontId="29" fillId="0" borderId="5" xfId="13" applyNumberFormat="1" applyFont="1" applyFill="1" applyBorder="1" applyAlignment="1" applyProtection="1">
      <alignment horizontal="left" vertical="center"/>
    </xf>
    <xf numFmtId="49" fontId="15" fillId="0" borderId="5" xfId="0" applyNumberFormat="1" applyFont="1" applyBorder="1" applyAlignment="1" applyProtection="1">
      <alignment horizontal="right" vertical="center"/>
    </xf>
    <xf numFmtId="49" fontId="15" fillId="0" borderId="4" xfId="0" applyNumberFormat="1" applyFont="1" applyBorder="1" applyAlignment="1" applyProtection="1">
      <alignment horizontal="right" vertical="center"/>
    </xf>
    <xf numFmtId="49" fontId="31" fillId="0" borderId="8" xfId="0" applyNumberFormat="1" applyFont="1" applyBorder="1" applyAlignment="1" applyProtection="1">
      <alignment vertical="center"/>
    </xf>
    <xf numFmtId="178" fontId="46" fillId="0" borderId="8" xfId="0" applyNumberFormat="1" applyFont="1" applyBorder="1" applyAlignment="1" applyProtection="1">
      <alignment horizontal="right" vertical="center"/>
    </xf>
    <xf numFmtId="177" fontId="46" fillId="0" borderId="8" xfId="0" applyNumberFormat="1" applyFont="1" applyBorder="1" applyAlignment="1" applyProtection="1">
      <alignment horizontal="right" vertical="center"/>
    </xf>
    <xf numFmtId="0" fontId="73" fillId="0" borderId="17" xfId="0" applyFont="1" applyBorder="1" applyAlignment="1" applyProtection="1">
      <alignment horizontal="center" vertical="center"/>
    </xf>
    <xf numFmtId="0" fontId="66" fillId="0" borderId="15" xfId="0" applyFont="1" applyBorder="1" applyAlignment="1" applyProtection="1">
      <alignment horizontal="left" vertical="center"/>
    </xf>
    <xf numFmtId="0" fontId="66" fillId="0" borderId="0" xfId="0" applyFont="1" applyBorder="1" applyAlignment="1" applyProtection="1">
      <alignment horizontal="left" vertical="center"/>
    </xf>
    <xf numFmtId="0" fontId="12" fillId="0" borderId="5" xfId="0" applyFont="1" applyBorder="1" applyAlignment="1" applyProtection="1">
      <alignment horizontal="right" vertical="center"/>
    </xf>
    <xf numFmtId="49" fontId="14" fillId="0" borderId="0"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31" fillId="0" borderId="45" xfId="0" applyNumberFormat="1" applyFont="1" applyBorder="1" applyAlignment="1" applyProtection="1">
      <alignment horizontal="left" vertical="center"/>
    </xf>
    <xf numFmtId="49" fontId="31" fillId="0" borderId="15" xfId="0" applyNumberFormat="1" applyFont="1" applyBorder="1" applyAlignment="1" applyProtection="1">
      <alignment horizontal="center" vertical="center"/>
    </xf>
    <xf numFmtId="0" fontId="12" fillId="0" borderId="2" xfId="0" applyFont="1" applyBorder="1" applyAlignment="1" applyProtection="1">
      <alignment vertical="center"/>
    </xf>
    <xf numFmtId="0" fontId="69" fillId="0" borderId="15" xfId="13" applyFont="1" applyFill="1" applyBorder="1" applyAlignment="1" applyProtection="1">
      <alignment vertical="center"/>
    </xf>
    <xf numFmtId="0" fontId="69" fillId="0" borderId="10" xfId="13" applyFont="1" applyFill="1" applyBorder="1" applyAlignment="1" applyProtection="1">
      <alignment vertical="center"/>
    </xf>
    <xf numFmtId="176" fontId="77" fillId="0" borderId="17" xfId="13" applyNumberFormat="1" applyFont="1" applyFill="1" applyBorder="1" applyAlignment="1" applyProtection="1">
      <alignment vertical="center"/>
    </xf>
    <xf numFmtId="0" fontId="76" fillId="0" borderId="15" xfId="13" applyFont="1" applyFill="1" applyBorder="1" applyAlignment="1" applyProtection="1">
      <alignment horizontal="right" vertical="center"/>
    </xf>
    <xf numFmtId="0" fontId="13" fillId="0" borderId="15" xfId="0" applyFont="1" applyBorder="1" applyAlignment="1" applyProtection="1">
      <alignment horizontal="right" vertical="center"/>
    </xf>
    <xf numFmtId="0" fontId="68" fillId="0" borderId="9" xfId="0" applyFont="1" applyFill="1" applyBorder="1" applyAlignment="1" applyProtection="1">
      <alignment horizontal="center" vertical="center" wrapText="1"/>
    </xf>
    <xf numFmtId="0" fontId="68" fillId="0" borderId="10" xfId="13" applyFont="1" applyFill="1" applyBorder="1" applyAlignment="1" applyProtection="1">
      <alignment vertical="center"/>
    </xf>
    <xf numFmtId="0" fontId="13" fillId="0" borderId="10" xfId="0" applyFont="1" applyBorder="1" applyAlignment="1" applyProtection="1">
      <alignment horizontal="right" vertical="center"/>
    </xf>
    <xf numFmtId="0" fontId="69" fillId="0" borderId="93" xfId="13" applyFont="1" applyFill="1" applyBorder="1" applyAlignment="1" applyProtection="1">
      <alignment vertical="center"/>
    </xf>
    <xf numFmtId="0" fontId="6" fillId="0" borderId="51" xfId="0" applyFont="1" applyFill="1" applyBorder="1" applyAlignment="1" applyProtection="1">
      <alignment horizontal="center" vertical="center" wrapText="1"/>
    </xf>
    <xf numFmtId="0" fontId="70" fillId="0" borderId="21" xfId="0" applyFont="1" applyFill="1" applyBorder="1" applyAlignment="1" applyProtection="1">
      <alignment horizontal="center" vertical="center" wrapText="1"/>
    </xf>
    <xf numFmtId="0" fontId="70" fillId="0" borderId="29" xfId="0" applyFont="1" applyFill="1" applyBorder="1" applyAlignment="1" applyProtection="1">
      <alignment horizontal="center" vertical="center" wrapText="1"/>
    </xf>
    <xf numFmtId="49" fontId="5" fillId="0" borderId="51"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71" fillId="0" borderId="11" xfId="0" applyNumberFormat="1" applyFont="1" applyFill="1" applyBorder="1" applyAlignment="1" applyProtection="1">
      <alignment horizontal="left" vertical="center"/>
    </xf>
    <xf numFmtId="4" fontId="12" fillId="0" borderId="34" xfId="0" applyNumberFormat="1" applyFont="1" applyBorder="1" applyAlignment="1" applyProtection="1">
      <alignment vertical="center"/>
    </xf>
    <xf numFmtId="0" fontId="74" fillId="0" borderId="17" xfId="0" applyFont="1" applyBorder="1" applyAlignment="1" applyProtection="1">
      <alignment horizontal="center" vertical="center"/>
    </xf>
    <xf numFmtId="0" fontId="78" fillId="0" borderId="15" xfId="0" applyFont="1" applyBorder="1" applyAlignment="1" applyProtection="1">
      <alignment horizontal="left" vertical="center"/>
    </xf>
    <xf numFmtId="0" fontId="78" fillId="0" borderId="0" xfId="0" applyFont="1" applyBorder="1" applyAlignment="1" applyProtection="1">
      <alignment horizontal="left" vertical="center"/>
    </xf>
    <xf numFmtId="0" fontId="78" fillId="0" borderId="4" xfId="0" applyFont="1" applyBorder="1" applyAlignment="1" applyProtection="1">
      <alignment horizontal="left" vertical="center"/>
    </xf>
    <xf numFmtId="0" fontId="12" fillId="0" borderId="1" xfId="0" applyFont="1" applyBorder="1" applyAlignment="1" applyProtection="1">
      <alignment vertical="center"/>
    </xf>
    <xf numFmtId="4" fontId="69" fillId="0" borderId="10" xfId="13" applyNumberFormat="1" applyFont="1" applyFill="1" applyBorder="1" applyAlignment="1" applyProtection="1">
      <alignment vertical="center"/>
    </xf>
    <xf numFmtId="10" fontId="90" fillId="0" borderId="95" xfId="0" applyNumberFormat="1" applyFont="1" applyFill="1" applyBorder="1" applyAlignment="1" applyProtection="1">
      <alignment vertical="center"/>
    </xf>
    <xf numFmtId="0" fontId="27" fillId="0" borderId="65" xfId="0" applyFont="1" applyFill="1" applyBorder="1" applyAlignment="1" applyProtection="1">
      <alignment horizontal="center" vertical="center"/>
    </xf>
    <xf numFmtId="0" fontId="27" fillId="0" borderId="65" xfId="0" applyFont="1" applyBorder="1" applyAlignment="1" applyProtection="1">
      <alignment horizontal="center" vertical="center"/>
    </xf>
    <xf numFmtId="10" fontId="90" fillId="0" borderId="95" xfId="0" applyNumberFormat="1" applyFont="1" applyFill="1" applyBorder="1" applyAlignment="1" applyProtection="1">
      <alignment horizontal="center" vertical="center"/>
    </xf>
    <xf numFmtId="0" fontId="12" fillId="0" borderId="96" xfId="0" applyFont="1" applyBorder="1" applyAlignment="1">
      <alignment horizontal="right" vertical="center"/>
    </xf>
    <xf numFmtId="0" fontId="14" fillId="0" borderId="96" xfId="0" applyFont="1" applyFill="1" applyBorder="1" applyAlignment="1" applyProtection="1">
      <alignment horizontal="right" vertical="center"/>
    </xf>
    <xf numFmtId="0" fontId="12" fillId="0" borderId="76" xfId="0" applyFont="1" applyBorder="1" applyAlignment="1">
      <alignment horizontal="right" vertical="center"/>
    </xf>
    <xf numFmtId="0" fontId="12" fillId="0" borderId="97" xfId="0" applyFont="1" applyBorder="1" applyAlignment="1">
      <alignment horizontal="right" vertical="center"/>
    </xf>
    <xf numFmtId="0" fontId="15" fillId="6" borderId="98" xfId="0" applyFont="1" applyFill="1" applyBorder="1" applyAlignment="1" applyProtection="1">
      <alignment horizontal="center" vertical="center" wrapText="1"/>
    </xf>
    <xf numFmtId="0" fontId="15" fillId="7" borderId="87" xfId="0" applyFont="1" applyFill="1" applyBorder="1" applyAlignment="1" applyProtection="1">
      <alignment horizontal="center" vertical="center" wrapText="1"/>
    </xf>
    <xf numFmtId="0" fontId="12" fillId="0" borderId="0" xfId="0" applyFont="1" applyBorder="1" applyAlignment="1" applyProtection="1">
      <alignment horizontal="right" vertical="center"/>
    </xf>
    <xf numFmtId="0" fontId="12" fillId="0" borderId="99" xfId="0" applyFont="1" applyBorder="1" applyAlignment="1">
      <alignment horizontal="right" vertical="center"/>
    </xf>
    <xf numFmtId="0" fontId="14" fillId="0" borderId="100" xfId="0" applyFont="1" applyFill="1" applyBorder="1" applyAlignment="1" applyProtection="1">
      <alignment horizontal="right" vertical="center"/>
    </xf>
    <xf numFmtId="0" fontId="27" fillId="0" borderId="46" xfId="0" applyFont="1" applyBorder="1" applyAlignment="1">
      <alignment horizontal="right" vertical="center"/>
    </xf>
    <xf numFmtId="0" fontId="25" fillId="0" borderId="28" xfId="0" applyFont="1" applyFill="1" applyBorder="1" applyAlignment="1" applyProtection="1">
      <alignment horizontal="right" vertical="center"/>
    </xf>
    <xf numFmtId="0" fontId="25" fillId="0" borderId="29" xfId="0" applyFont="1" applyFill="1" applyBorder="1" applyAlignment="1" applyProtection="1">
      <alignment horizontal="right" vertical="center"/>
    </xf>
    <xf numFmtId="0" fontId="12" fillId="0" borderId="90" xfId="0" applyFont="1" applyBorder="1" applyAlignment="1" applyProtection="1">
      <alignment horizontal="right" vertical="center"/>
    </xf>
    <xf numFmtId="49" fontId="15" fillId="3" borderId="32" xfId="0" applyNumberFormat="1" applyFont="1" applyFill="1" applyBorder="1" applyAlignment="1" applyProtection="1">
      <alignment vertical="center"/>
    </xf>
    <xf numFmtId="0" fontId="12" fillId="0" borderId="81" xfId="0" applyFont="1" applyBorder="1" applyAlignment="1" applyProtection="1">
      <alignment horizontal="right" vertical="center"/>
    </xf>
    <xf numFmtId="49" fontId="15" fillId="3" borderId="21" xfId="0" applyNumberFormat="1" applyFont="1" applyFill="1" applyBorder="1" applyAlignment="1" applyProtection="1">
      <alignment vertical="center"/>
    </xf>
    <xf numFmtId="49" fontId="15" fillId="3" borderId="21" xfId="0" applyNumberFormat="1" applyFont="1" applyFill="1" applyBorder="1" applyAlignment="1" applyProtection="1">
      <alignment horizontal="left" vertical="center"/>
    </xf>
    <xf numFmtId="0" fontId="25" fillId="3" borderId="21" xfId="0" applyFont="1" applyFill="1" applyBorder="1" applyAlignment="1" applyProtection="1">
      <alignment horizontal="center" vertical="center"/>
    </xf>
    <xf numFmtId="0" fontId="14" fillId="0" borderId="37" xfId="0" applyFont="1" applyBorder="1" applyAlignment="1" applyProtection="1">
      <alignment horizontal="right" vertical="center"/>
    </xf>
    <xf numFmtId="0" fontId="15" fillId="3" borderId="71" xfId="0" applyFont="1" applyFill="1" applyBorder="1" applyAlignment="1" applyProtection="1">
      <alignment horizontal="left" vertical="center"/>
    </xf>
    <xf numFmtId="0" fontId="15" fillId="3" borderId="45" xfId="0" applyFont="1" applyFill="1" applyBorder="1" applyAlignment="1" applyProtection="1">
      <alignment horizontal="left" vertical="center"/>
    </xf>
    <xf numFmtId="0" fontId="14" fillId="0" borderId="94" xfId="0" applyFont="1" applyBorder="1" applyAlignment="1" applyProtection="1">
      <alignment horizontal="right" vertical="center"/>
    </xf>
    <xf numFmtId="49" fontId="15" fillId="3" borderId="94" xfId="0" applyNumberFormat="1" applyFont="1" applyFill="1" applyBorder="1" applyAlignment="1" applyProtection="1">
      <alignment vertical="center"/>
    </xf>
    <xf numFmtId="49" fontId="15" fillId="3" borderId="45"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49" fontId="15" fillId="0" borderId="8" xfId="0" applyNumberFormat="1" applyFont="1" applyFill="1" applyBorder="1" applyAlignment="1" applyProtection="1">
      <alignment vertical="center"/>
    </xf>
    <xf numFmtId="49" fontId="15" fillId="3" borderId="7" xfId="0" applyNumberFormat="1" applyFont="1" applyFill="1" applyBorder="1" applyAlignment="1" applyProtection="1">
      <alignment horizontal="left" vertical="center"/>
    </xf>
    <xf numFmtId="0" fontId="12" fillId="0" borderId="86" xfId="0" applyFont="1" applyBorder="1" applyAlignment="1" applyProtection="1">
      <alignment horizontal="right" vertical="center"/>
    </xf>
    <xf numFmtId="10" fontId="88" fillId="4" borderId="21" xfId="0" applyNumberFormat="1" applyFont="1" applyFill="1" applyBorder="1" applyAlignment="1" applyProtection="1">
      <alignment horizontal="center" vertical="center"/>
    </xf>
    <xf numFmtId="0" fontId="12" fillId="0" borderId="97" xfId="0" applyFont="1" applyBorder="1" applyAlignment="1" applyProtection="1">
      <alignment horizontal="right" vertical="center"/>
    </xf>
    <xf numFmtId="0" fontId="12" fillId="0" borderId="96" xfId="0" applyFont="1" applyBorder="1" applyAlignment="1" applyProtection="1">
      <alignment horizontal="right" vertical="center"/>
    </xf>
    <xf numFmtId="0" fontId="12" fillId="0" borderId="76" xfId="0" applyFont="1" applyBorder="1" applyAlignment="1" applyProtection="1">
      <alignment horizontal="right" vertical="center"/>
    </xf>
    <xf numFmtId="0" fontId="12" fillId="0" borderId="99" xfId="0" applyFont="1" applyBorder="1" applyAlignment="1" applyProtection="1">
      <alignment horizontal="right" vertical="center"/>
    </xf>
    <xf numFmtId="0" fontId="27" fillId="0" borderId="46" xfId="0" applyFont="1" applyBorder="1" applyAlignment="1" applyProtection="1">
      <alignment horizontal="right" vertical="center"/>
    </xf>
    <xf numFmtId="0" fontId="14" fillId="0" borderId="21" xfId="0" applyFont="1" applyBorder="1" applyAlignment="1" applyProtection="1">
      <alignment horizontal="right" vertical="center"/>
    </xf>
    <xf numFmtId="0" fontId="14" fillId="0" borderId="45" xfId="0" applyFont="1" applyBorder="1" applyAlignment="1" applyProtection="1">
      <alignment horizontal="left" vertical="center"/>
    </xf>
    <xf numFmtId="0" fontId="14" fillId="0" borderId="4" xfId="0" applyFont="1" applyBorder="1" applyAlignment="1" applyProtection="1">
      <alignment horizontal="right" vertical="center"/>
    </xf>
    <xf numFmtId="173" fontId="15" fillId="0" borderId="2" xfId="0" applyNumberFormat="1" applyFont="1" applyFill="1" applyBorder="1" applyAlignment="1" applyProtection="1">
      <alignment horizontal="left" vertical="center"/>
    </xf>
    <xf numFmtId="0" fontId="25" fillId="0" borderId="21" xfId="0" applyFont="1" applyFill="1" applyBorder="1" applyAlignment="1" applyProtection="1">
      <alignment horizontal="center" vertical="center"/>
    </xf>
    <xf numFmtId="176" fontId="93" fillId="0" borderId="0" xfId="13" applyNumberFormat="1" applyFont="1" applyBorder="1" applyAlignment="1" applyProtection="1">
      <alignment horizontal="left" vertical="center"/>
    </xf>
    <xf numFmtId="180" fontId="15" fillId="3" borderId="21" xfId="0" applyNumberFormat="1" applyFont="1" applyFill="1" applyBorder="1" applyAlignment="1" applyProtection="1">
      <alignment horizontal="left" vertical="center"/>
      <protection locked="0"/>
    </xf>
    <xf numFmtId="181" fontId="15" fillId="3" borderId="21" xfId="0" applyNumberFormat="1" applyFont="1" applyFill="1" applyBorder="1" applyAlignment="1" applyProtection="1">
      <alignment horizontal="left" vertical="center"/>
      <protection locked="0"/>
    </xf>
    <xf numFmtId="49" fontId="15" fillId="3" borderId="21" xfId="0" applyNumberFormat="1" applyFont="1" applyFill="1" applyBorder="1" applyAlignment="1" applyProtection="1">
      <alignment horizontal="left" vertical="center"/>
      <protection locked="0"/>
    </xf>
    <xf numFmtId="49" fontId="15" fillId="3" borderId="21" xfId="0" applyNumberFormat="1" applyFont="1" applyFill="1" applyBorder="1" applyAlignment="1" applyProtection="1">
      <alignment vertical="center"/>
      <protection locked="0"/>
    </xf>
    <xf numFmtId="49" fontId="15" fillId="3" borderId="45" xfId="0" applyNumberFormat="1" applyFont="1" applyFill="1" applyBorder="1" applyAlignment="1" applyProtection="1">
      <alignment vertical="center"/>
      <protection locked="0"/>
    </xf>
    <xf numFmtId="49" fontId="15" fillId="3" borderId="7" xfId="0" applyNumberFormat="1" applyFont="1" applyFill="1" applyBorder="1" applyAlignment="1" applyProtection="1">
      <alignment horizontal="left" vertical="center"/>
      <protection locked="0"/>
    </xf>
    <xf numFmtId="182" fontId="15" fillId="3" borderId="21" xfId="0" applyNumberFormat="1" applyFont="1" applyFill="1" applyBorder="1" applyAlignment="1" applyProtection="1">
      <alignment horizontal="left" vertical="center"/>
      <protection locked="0"/>
    </xf>
    <xf numFmtId="176" fontId="75" fillId="3" borderId="17" xfId="13" applyNumberFormat="1" applyFont="1" applyFill="1" applyBorder="1" applyAlignment="1" applyProtection="1">
      <alignment vertical="center"/>
      <protection locked="0"/>
    </xf>
    <xf numFmtId="176" fontId="75" fillId="3" borderId="15" xfId="13" applyNumberFormat="1" applyFont="1" applyFill="1" applyBorder="1" applyAlignment="1" applyProtection="1">
      <alignment vertical="center"/>
      <protection locked="0"/>
    </xf>
    <xf numFmtId="0" fontId="69" fillId="3" borderId="15" xfId="13" applyFont="1" applyFill="1" applyBorder="1" applyAlignment="1" applyProtection="1">
      <alignment vertical="center"/>
      <protection locked="0"/>
    </xf>
    <xf numFmtId="0" fontId="76" fillId="3" borderId="15" xfId="13" applyFont="1" applyFill="1" applyBorder="1" applyAlignment="1" applyProtection="1">
      <alignment vertical="center"/>
      <protection locked="0"/>
    </xf>
    <xf numFmtId="176" fontId="69" fillId="3" borderId="15" xfId="13" applyNumberFormat="1" applyFont="1" applyFill="1" applyBorder="1" applyAlignment="1" applyProtection="1">
      <alignment vertical="center"/>
      <protection locked="0"/>
    </xf>
    <xf numFmtId="0" fontId="27" fillId="3" borderId="15" xfId="0" applyFont="1" applyFill="1" applyBorder="1" applyAlignment="1" applyProtection="1">
      <alignment horizontal="right" vertical="center"/>
      <protection locked="0"/>
    </xf>
    <xf numFmtId="0" fontId="13" fillId="3" borderId="15"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173" fontId="26" fillId="3" borderId="43" xfId="0" applyNumberFormat="1" applyFont="1" applyFill="1" applyBorder="1" applyAlignment="1" applyProtection="1">
      <alignment vertical="center"/>
      <protection locked="0"/>
    </xf>
    <xf numFmtId="176" fontId="6" fillId="3" borderId="4" xfId="13" applyNumberFormat="1" applyFont="1" applyFill="1" applyBorder="1" applyAlignment="1" applyProtection="1">
      <alignment horizontal="left" vertical="center"/>
      <protection locked="0"/>
    </xf>
    <xf numFmtId="176" fontId="75" fillId="3" borderId="0" xfId="13" applyNumberFormat="1" applyFont="1" applyFill="1" applyBorder="1" applyAlignment="1" applyProtection="1">
      <alignment horizontal="left" vertical="center"/>
      <protection locked="0"/>
    </xf>
    <xf numFmtId="0" fontId="69" fillId="3" borderId="0" xfId="13" applyFont="1" applyFill="1" applyBorder="1" applyAlignment="1" applyProtection="1">
      <alignment vertical="center"/>
      <protection locked="0"/>
    </xf>
    <xf numFmtId="0" fontId="27" fillId="3" borderId="0" xfId="0" applyFont="1" applyFill="1" applyBorder="1" applyAlignment="1" applyProtection="1">
      <alignment horizontal="right" vertical="center"/>
      <protection locked="0"/>
    </xf>
    <xf numFmtId="0" fontId="13"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3" fontId="26" fillId="3" borderId="8" xfId="0" applyNumberFormat="1" applyFont="1" applyFill="1" applyBorder="1" applyAlignment="1" applyProtection="1">
      <alignment vertical="center"/>
      <protection locked="0"/>
    </xf>
    <xf numFmtId="176" fontId="75" fillId="3" borderId="4" xfId="13" applyNumberFormat="1" applyFont="1" applyFill="1" applyBorder="1" applyAlignment="1" applyProtection="1">
      <alignment horizontal="left" vertical="center"/>
      <protection locked="0"/>
    </xf>
    <xf numFmtId="0" fontId="46" fillId="3" borderId="4" xfId="13" applyFont="1" applyFill="1" applyBorder="1" applyAlignment="1" applyProtection="1">
      <alignment vertical="center"/>
      <protection locked="0"/>
    </xf>
    <xf numFmtId="176" fontId="77" fillId="3" borderId="0" xfId="13" applyNumberFormat="1" applyFont="1" applyFill="1" applyBorder="1" applyAlignment="1" applyProtection="1">
      <alignment horizontal="right" vertical="center"/>
      <protection locked="0"/>
    </xf>
    <xf numFmtId="9" fontId="69" fillId="3" borderId="10" xfId="13" applyNumberFormat="1" applyFont="1" applyFill="1" applyBorder="1" applyAlignment="1" applyProtection="1">
      <alignment vertical="center"/>
      <protection locked="0"/>
    </xf>
    <xf numFmtId="0" fontId="69" fillId="3" borderId="10" xfId="13"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39" fontId="69" fillId="3" borderId="0" xfId="13" applyNumberFormat="1" applyFont="1" applyFill="1" applyBorder="1" applyAlignment="1" applyProtection="1">
      <alignment vertical="center"/>
      <protection locked="0"/>
    </xf>
    <xf numFmtId="39" fontId="69" fillId="3" borderId="10" xfId="13" applyNumberFormat="1" applyFont="1" applyFill="1" applyBorder="1" applyAlignment="1" applyProtection="1">
      <alignment vertical="center"/>
      <protection locked="0"/>
    </xf>
    <xf numFmtId="176" fontId="75" fillId="3" borderId="11" xfId="13" applyNumberFormat="1" applyFont="1" applyFill="1" applyBorder="1" applyAlignment="1" applyProtection="1">
      <alignment vertical="center"/>
      <protection locked="0"/>
    </xf>
    <xf numFmtId="176" fontId="6" fillId="3" borderId="5" xfId="13" applyNumberFormat="1" applyFont="1" applyFill="1" applyBorder="1" applyAlignment="1" applyProtection="1">
      <alignment vertical="center"/>
      <protection locked="0"/>
    </xf>
    <xf numFmtId="0" fontId="5" fillId="3" borderId="5" xfId="13" applyFont="1" applyFill="1" applyBorder="1" applyAlignment="1" applyProtection="1">
      <alignment vertical="center"/>
      <protection locked="0"/>
    </xf>
    <xf numFmtId="176" fontId="5" fillId="3" borderId="5" xfId="13" applyNumberFormat="1" applyFont="1" applyFill="1" applyBorder="1" applyAlignment="1" applyProtection="1">
      <alignment vertical="center"/>
      <protection locked="0"/>
    </xf>
    <xf numFmtId="0" fontId="27" fillId="3" borderId="5" xfId="0" applyFont="1" applyFill="1" applyBorder="1" applyAlignment="1" applyProtection="1">
      <alignment horizontal="right" vertical="center"/>
      <protection locked="0"/>
    </xf>
    <xf numFmtId="0" fontId="13" fillId="3" borderId="5"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173" fontId="26" fillId="3" borderId="34" xfId="0" applyNumberFormat="1" applyFont="1" applyFill="1" applyBorder="1" applyAlignment="1" applyProtection="1">
      <alignment vertical="center"/>
      <protection locked="0"/>
    </xf>
    <xf numFmtId="176" fontId="77" fillId="3" borderId="4" xfId="13" applyNumberFormat="1" applyFont="1" applyFill="1" applyBorder="1" applyAlignment="1" applyProtection="1">
      <alignment vertical="center"/>
      <protection locked="0"/>
    </xf>
    <xf numFmtId="176" fontId="75" fillId="3" borderId="0" xfId="13" applyNumberFormat="1" applyFont="1" applyFill="1" applyBorder="1" applyAlignment="1" applyProtection="1">
      <alignment vertical="center"/>
      <protection locked="0"/>
    </xf>
    <xf numFmtId="0" fontId="76" fillId="3" borderId="0" xfId="13" applyFont="1" applyFill="1" applyBorder="1" applyAlignment="1" applyProtection="1">
      <alignment vertical="center"/>
      <protection locked="0"/>
    </xf>
    <xf numFmtId="0" fontId="67" fillId="3" borderId="0" xfId="0" applyFont="1" applyFill="1" applyBorder="1" applyAlignment="1" applyProtection="1">
      <alignment vertical="center"/>
      <protection locked="0"/>
    </xf>
    <xf numFmtId="176" fontId="69" fillId="3" borderId="8" xfId="13" applyNumberFormat="1" applyFont="1" applyFill="1" applyBorder="1" applyAlignment="1" applyProtection="1">
      <alignment vertical="center"/>
      <protection locked="0"/>
    </xf>
    <xf numFmtId="176" fontId="6" fillId="3" borderId="4" xfId="13" applyNumberFormat="1" applyFont="1" applyFill="1" applyBorder="1" applyAlignment="1" applyProtection="1">
      <alignment horizontal="right" vertical="center"/>
      <protection locked="0"/>
    </xf>
    <xf numFmtId="179" fontId="12" fillId="3" borderId="0" xfId="0" applyNumberFormat="1" applyFont="1" applyFill="1" applyBorder="1" applyAlignment="1" applyProtection="1">
      <alignment vertical="center"/>
      <protection locked="0"/>
    </xf>
    <xf numFmtId="0" fontId="69" fillId="3" borderId="8" xfId="13" applyFont="1" applyFill="1" applyBorder="1" applyAlignment="1" applyProtection="1">
      <alignment vertical="center"/>
      <protection locked="0"/>
    </xf>
    <xf numFmtId="0" fontId="13"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right" vertical="center"/>
      <protection locked="0"/>
    </xf>
    <xf numFmtId="0" fontId="67" fillId="3" borderId="0" xfId="0" applyFont="1" applyFill="1" applyBorder="1" applyAlignment="1" applyProtection="1">
      <alignment horizontal="center" vertical="center"/>
      <protection locked="0"/>
    </xf>
    <xf numFmtId="0" fontId="12" fillId="3" borderId="10" xfId="0" applyFont="1" applyFill="1" applyBorder="1" applyAlignment="1" applyProtection="1">
      <alignment vertical="center"/>
      <protection locked="0"/>
    </xf>
    <xf numFmtId="0" fontId="26" fillId="3" borderId="10" xfId="0" applyFont="1" applyFill="1" applyBorder="1" applyAlignment="1" applyProtection="1">
      <alignment horizontal="right" vertical="center"/>
      <protection locked="0"/>
    </xf>
    <xf numFmtId="39" fontId="69" fillId="3" borderId="8" xfId="13" applyNumberFormat="1" applyFont="1" applyFill="1" applyBorder="1" applyAlignment="1" applyProtection="1">
      <alignment vertical="center"/>
      <protection locked="0"/>
    </xf>
    <xf numFmtId="176" fontId="77" fillId="3" borderId="4" xfId="13" applyNumberFormat="1" applyFont="1" applyFill="1" applyBorder="1" applyAlignment="1" applyProtection="1">
      <alignment horizontal="left" vertical="center"/>
      <protection locked="0"/>
    </xf>
    <xf numFmtId="176" fontId="77" fillId="3" borderId="0" xfId="13" applyNumberFormat="1" applyFont="1" applyFill="1" applyBorder="1" applyAlignment="1" applyProtection="1">
      <alignment horizontal="left" vertical="center"/>
      <protection locked="0"/>
    </xf>
    <xf numFmtId="9" fontId="69" fillId="3" borderId="0" xfId="13" applyNumberFormat="1" applyFont="1" applyFill="1" applyBorder="1" applyAlignment="1" applyProtection="1">
      <alignment vertical="center"/>
      <protection locked="0"/>
    </xf>
    <xf numFmtId="0" fontId="67" fillId="3" borderId="0" xfId="0" applyFont="1" applyFill="1" applyBorder="1" applyAlignment="1" applyProtection="1">
      <alignment horizontal="right" vertical="center"/>
      <protection locked="0"/>
    </xf>
    <xf numFmtId="0" fontId="76" fillId="3" borderId="11" xfId="13" applyFont="1" applyFill="1" applyBorder="1" applyAlignment="1" applyProtection="1">
      <alignment horizontal="right" vertical="center"/>
      <protection locked="0"/>
    </xf>
    <xf numFmtId="0" fontId="77" fillId="3" borderId="5" xfId="13" applyFont="1" applyFill="1" applyBorder="1" applyAlignment="1" applyProtection="1">
      <alignment horizontal="right" vertical="center"/>
      <protection locked="0"/>
    </xf>
    <xf numFmtId="0" fontId="69" fillId="3" borderId="5" xfId="13" applyFont="1" applyFill="1" applyBorder="1" applyAlignment="1" applyProtection="1">
      <alignment vertical="center"/>
      <protection locked="0"/>
    </xf>
    <xf numFmtId="0" fontId="46" fillId="3" borderId="5" xfId="0" applyFont="1" applyFill="1" applyBorder="1" applyAlignment="1" applyProtection="1">
      <alignment vertical="center"/>
      <protection locked="0"/>
    </xf>
    <xf numFmtId="0" fontId="67" fillId="3" borderId="5" xfId="0" applyFont="1" applyFill="1" applyBorder="1" applyAlignment="1" applyProtection="1">
      <alignment horizontal="right" vertical="center"/>
      <protection locked="0"/>
    </xf>
    <xf numFmtId="0" fontId="67" fillId="3" borderId="5" xfId="0" applyFont="1" applyFill="1" applyBorder="1" applyAlignment="1" applyProtection="1">
      <alignment vertical="center"/>
      <protection locked="0"/>
    </xf>
    <xf numFmtId="0" fontId="69" fillId="3" borderId="34" xfId="13" applyFont="1" applyFill="1" applyBorder="1" applyAlignment="1" applyProtection="1">
      <alignment vertical="center"/>
      <protection locked="0"/>
    </xf>
    <xf numFmtId="49" fontId="71" fillId="9" borderId="72" xfId="0" applyNumberFormat="1" applyFont="1" applyFill="1" applyBorder="1" applyAlignment="1" applyProtection="1">
      <alignment horizontal="center" vertical="center"/>
    </xf>
    <xf numFmtId="179" fontId="18" fillId="9" borderId="65" xfId="0" applyNumberFormat="1" applyFont="1" applyFill="1" applyBorder="1" applyAlignment="1" applyProtection="1">
      <alignment vertical="center"/>
    </xf>
    <xf numFmtId="0" fontId="12" fillId="9" borderId="65" xfId="0" applyFont="1" applyFill="1" applyBorder="1" applyAlignment="1" applyProtection="1">
      <alignment vertical="center"/>
    </xf>
    <xf numFmtId="0" fontId="4" fillId="9" borderId="65" xfId="0" applyFont="1" applyFill="1" applyBorder="1" applyAlignment="1" applyProtection="1">
      <alignment vertical="center"/>
    </xf>
    <xf numFmtId="179" fontId="5" fillId="9" borderId="65" xfId="0" applyNumberFormat="1" applyFont="1" applyFill="1" applyBorder="1" applyAlignment="1" applyProtection="1">
      <alignment vertical="center"/>
    </xf>
    <xf numFmtId="179" fontId="4" fillId="9" borderId="101" xfId="0" applyNumberFormat="1" applyFont="1" applyFill="1" applyBorder="1" applyAlignment="1" applyProtection="1">
      <alignment vertical="center"/>
    </xf>
    <xf numFmtId="0" fontId="7" fillId="0" borderId="54" xfId="0" applyFont="1" applyBorder="1" applyAlignment="1" applyProtection="1">
      <alignment horizontal="center" wrapText="1"/>
    </xf>
    <xf numFmtId="0" fontId="7" fillId="0" borderId="87" xfId="0" applyFont="1" applyBorder="1" applyAlignment="1" applyProtection="1">
      <alignment horizontal="center" wrapText="1"/>
    </xf>
    <xf numFmtId="0" fontId="29" fillId="0" borderId="5" xfId="0"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0" fontId="29" fillId="0" borderId="20" xfId="0" applyFont="1" applyFill="1" applyBorder="1" applyAlignment="1" applyProtection="1">
      <alignment horizontal="right" vertical="center"/>
    </xf>
    <xf numFmtId="0" fontId="21" fillId="0" borderId="0" xfId="0" applyFont="1" applyFill="1" applyBorder="1" applyAlignment="1" applyProtection="1">
      <alignment vertical="center"/>
    </xf>
    <xf numFmtId="0" fontId="6" fillId="3" borderId="0" xfId="13" applyFont="1" applyFill="1" applyBorder="1" applyAlignment="1" applyProtection="1">
      <alignment vertical="center"/>
      <protection locked="0"/>
    </xf>
    <xf numFmtId="0" fontId="26" fillId="3" borderId="0" xfId="0" applyFont="1" applyFill="1" applyBorder="1" applyAlignment="1" applyProtection="1">
      <alignment vertical="center"/>
      <protection locked="0"/>
    </xf>
    <xf numFmtId="176" fontId="77" fillId="3" borderId="9" xfId="13" applyNumberFormat="1" applyFont="1" applyFill="1" applyBorder="1" applyAlignment="1" applyProtection="1">
      <alignment horizontal="left" vertical="center"/>
      <protection locked="0"/>
    </xf>
    <xf numFmtId="0" fontId="75" fillId="3" borderId="10" xfId="13" applyFont="1" applyFill="1" applyBorder="1" applyAlignment="1" applyProtection="1">
      <alignment horizontal="right" vertical="center"/>
      <protection locked="0"/>
    </xf>
    <xf numFmtId="0" fontId="67" fillId="3" borderId="10" xfId="0" applyFont="1" applyFill="1" applyBorder="1" applyAlignment="1" applyProtection="1">
      <alignment vertical="center"/>
      <protection locked="0"/>
    </xf>
    <xf numFmtId="0" fontId="67" fillId="3" borderId="10" xfId="0" applyFont="1" applyFill="1" applyBorder="1" applyAlignment="1" applyProtection="1">
      <alignment horizontal="right" vertical="center"/>
      <protection locked="0"/>
    </xf>
    <xf numFmtId="39" fontId="69" fillId="3" borderId="93" xfId="13" applyNumberFormat="1" applyFont="1" applyFill="1" applyBorder="1" applyAlignment="1" applyProtection="1">
      <alignment vertical="center"/>
      <protection locked="0"/>
    </xf>
    <xf numFmtId="176" fontId="77" fillId="3" borderId="4" xfId="13" applyNumberFormat="1" applyFont="1" applyFill="1" applyBorder="1" applyAlignment="1" applyProtection="1">
      <alignment horizontal="center" vertical="center"/>
      <protection locked="0"/>
    </xf>
    <xf numFmtId="0" fontId="6" fillId="3" borderId="11" xfId="13" applyFont="1" applyFill="1" applyBorder="1" applyAlignment="1" applyProtection="1">
      <alignment horizontal="center" vertical="center"/>
      <protection locked="0"/>
    </xf>
    <xf numFmtId="0" fontId="13" fillId="3" borderId="8" xfId="0" applyFont="1" applyFill="1" applyBorder="1" applyAlignment="1" applyProtection="1">
      <alignment vertical="center"/>
      <protection locked="0"/>
    </xf>
    <xf numFmtId="0" fontId="13" fillId="3" borderId="93" xfId="0" applyFont="1" applyFill="1" applyBorder="1" applyAlignment="1" applyProtection="1">
      <alignment vertical="center"/>
      <protection locked="0"/>
    </xf>
    <xf numFmtId="0" fontId="13" fillId="3" borderId="34" xfId="0" applyFont="1" applyFill="1" applyBorder="1" applyAlignment="1" applyProtection="1">
      <alignment vertical="center"/>
      <protection locked="0"/>
    </xf>
    <xf numFmtId="166" fontId="5" fillId="0" borderId="21" xfId="0" applyNumberFormat="1" applyFont="1" applyFill="1" applyBorder="1" applyAlignment="1" applyProtection="1">
      <alignment horizontal="right" vertical="center"/>
    </xf>
    <xf numFmtId="166" fontId="5" fillId="0" borderId="29" xfId="0" applyNumberFormat="1" applyFont="1" applyFill="1" applyBorder="1" applyAlignment="1" applyProtection="1">
      <alignment horizontal="right" vertical="center"/>
    </xf>
    <xf numFmtId="166" fontId="5" fillId="0" borderId="28" xfId="0" applyNumberFormat="1" applyFont="1" applyFill="1" applyBorder="1" applyAlignment="1" applyProtection="1">
      <alignment horizontal="right" vertical="center"/>
    </xf>
    <xf numFmtId="166" fontId="18" fillId="3" borderId="107" xfId="0" applyNumberFormat="1" applyFont="1" applyFill="1" applyBorder="1" applyAlignment="1" applyProtection="1">
      <alignment vertical="center"/>
      <protection locked="0"/>
    </xf>
    <xf numFmtId="166" fontId="18" fillId="3" borderId="1" xfId="0" applyNumberFormat="1" applyFont="1" applyFill="1" applyBorder="1" applyAlignment="1" applyProtection="1">
      <alignment vertical="center"/>
      <protection locked="0"/>
    </xf>
    <xf numFmtId="165" fontId="14" fillId="0" borderId="109" xfId="0" applyNumberFormat="1" applyFont="1" applyFill="1" applyBorder="1" applyAlignment="1" applyProtection="1">
      <alignment horizontal="right" vertical="center"/>
    </xf>
    <xf numFmtId="165" fontId="14" fillId="0" borderId="110" xfId="0" applyNumberFormat="1" applyFont="1" applyFill="1" applyBorder="1" applyAlignment="1" applyProtection="1">
      <alignment horizontal="right" vertical="center"/>
    </xf>
    <xf numFmtId="165" fontId="14" fillId="0" borderId="111" xfId="0" applyNumberFormat="1" applyFont="1" applyFill="1" applyBorder="1" applyAlignment="1" applyProtection="1">
      <alignment horizontal="right" vertical="center"/>
    </xf>
    <xf numFmtId="165" fontId="14" fillId="3" borderId="84" xfId="0" applyNumberFormat="1" applyFont="1" applyFill="1" applyBorder="1" applyAlignment="1" applyProtection="1">
      <alignment horizontal="right" vertical="center"/>
      <protection locked="0"/>
    </xf>
    <xf numFmtId="165" fontId="14" fillId="3" borderId="112" xfId="0" applyNumberFormat="1" applyFont="1" applyFill="1" applyBorder="1" applyAlignment="1" applyProtection="1">
      <alignment horizontal="right" vertical="center"/>
      <protection locked="0"/>
    </xf>
    <xf numFmtId="165" fontId="14" fillId="0" borderId="112" xfId="0" applyNumberFormat="1" applyFont="1" applyBorder="1" applyAlignment="1" applyProtection="1">
      <alignment horizontal="right" vertical="center"/>
    </xf>
    <xf numFmtId="165" fontId="14" fillId="0" borderId="71" xfId="0" applyNumberFormat="1" applyFont="1" applyBorder="1" applyAlignment="1" applyProtection="1">
      <alignment horizontal="right" vertical="center"/>
    </xf>
    <xf numFmtId="165" fontId="14" fillId="10" borderId="113" xfId="0" applyNumberFormat="1" applyFont="1" applyFill="1" applyBorder="1" applyAlignment="1" applyProtection="1">
      <alignment horizontal="right" vertical="center"/>
    </xf>
    <xf numFmtId="165" fontId="14" fillId="0" borderId="114" xfId="0" applyNumberFormat="1" applyFont="1" applyBorder="1" applyAlignment="1" applyProtection="1">
      <alignment horizontal="right" vertical="center"/>
    </xf>
    <xf numFmtId="165" fontId="14" fillId="0" borderId="113" xfId="0" applyNumberFormat="1" applyFont="1" applyBorder="1" applyAlignment="1" applyProtection="1">
      <alignment horizontal="right" vertical="center"/>
    </xf>
    <xf numFmtId="165" fontId="7" fillId="0" borderId="71" xfId="0" applyNumberFormat="1" applyFont="1" applyBorder="1" applyAlignment="1" applyProtection="1">
      <alignment vertical="center"/>
    </xf>
    <xf numFmtId="165" fontId="7" fillId="0" borderId="115" xfId="0" applyNumberFormat="1" applyFont="1" applyBorder="1" applyAlignment="1" applyProtection="1">
      <alignment vertical="center"/>
    </xf>
    <xf numFmtId="165" fontId="4" fillId="0" borderId="8" xfId="0" applyNumberFormat="1" applyFont="1" applyFill="1" applyBorder="1" applyAlignment="1" applyProtection="1">
      <alignment vertical="center"/>
    </xf>
    <xf numFmtId="165" fontId="15" fillId="0" borderId="34" xfId="0" applyNumberFormat="1" applyFont="1" applyFill="1" applyBorder="1" applyAlignment="1" applyProtection="1">
      <alignment vertical="center"/>
    </xf>
    <xf numFmtId="165" fontId="5" fillId="0" borderId="8" xfId="0" applyNumberFormat="1" applyFont="1" applyFill="1" applyBorder="1" applyAlignment="1" applyProtection="1">
      <alignment vertical="center"/>
    </xf>
    <xf numFmtId="165" fontId="4" fillId="0" borderId="93" xfId="0" applyNumberFormat="1" applyFont="1" applyBorder="1" applyAlignment="1" applyProtection="1">
      <alignment vertical="center"/>
    </xf>
    <xf numFmtId="165" fontId="5" fillId="0" borderId="116" xfId="0" applyNumberFormat="1" applyFont="1" applyFill="1" applyBorder="1" applyAlignment="1" applyProtection="1">
      <alignment vertical="center"/>
    </xf>
    <xf numFmtId="165" fontId="5" fillId="0" borderId="3" xfId="0" applyNumberFormat="1" applyFont="1" applyFill="1" applyBorder="1" applyAlignment="1" applyProtection="1">
      <alignment vertical="center"/>
    </xf>
    <xf numFmtId="165" fontId="6" fillId="0" borderId="34" xfId="0" applyNumberFormat="1" applyFont="1" applyFill="1" applyBorder="1" applyAlignment="1" applyProtection="1">
      <alignment vertical="center"/>
    </xf>
    <xf numFmtId="165" fontId="5" fillId="0" borderId="93" xfId="0" applyNumberFormat="1" applyFont="1" applyFill="1" applyBorder="1" applyAlignment="1" applyProtection="1">
      <alignment vertical="center"/>
    </xf>
    <xf numFmtId="165" fontId="14" fillId="0" borderId="3" xfId="0" applyNumberFormat="1" applyFont="1" applyBorder="1" applyAlignment="1" applyProtection="1">
      <alignment vertical="center"/>
    </xf>
    <xf numFmtId="165" fontId="29" fillId="0" borderId="3" xfId="0" applyNumberFormat="1" applyFont="1" applyFill="1" applyBorder="1" applyAlignment="1" applyProtection="1">
      <alignment vertical="center"/>
    </xf>
    <xf numFmtId="165" fontId="29" fillId="0" borderId="117" xfId="0" applyNumberFormat="1" applyFont="1" applyFill="1" applyBorder="1" applyAlignment="1" applyProtection="1">
      <alignment vertical="center"/>
    </xf>
    <xf numFmtId="165" fontId="26" fillId="0" borderId="101" xfId="0" applyNumberFormat="1" applyFont="1" applyFill="1" applyBorder="1" applyAlignment="1" applyProtection="1">
      <alignment vertical="center"/>
    </xf>
    <xf numFmtId="165" fontId="29" fillId="0" borderId="34" xfId="0" applyNumberFormat="1" applyFont="1" applyFill="1" applyBorder="1" applyAlignment="1" applyProtection="1">
      <alignment vertical="center"/>
    </xf>
    <xf numFmtId="165" fontId="4" fillId="0" borderId="8" xfId="0" applyNumberFormat="1" applyFont="1" applyBorder="1" applyAlignment="1" applyProtection="1">
      <alignment vertical="center"/>
    </xf>
    <xf numFmtId="165" fontId="15" fillId="0" borderId="34" xfId="0" applyNumberFormat="1" applyFont="1" applyBorder="1" applyAlignment="1" applyProtection="1">
      <alignment vertical="center"/>
    </xf>
    <xf numFmtId="165" fontId="29" fillId="0" borderId="8" xfId="0" applyNumberFormat="1" applyFont="1" applyFill="1" applyBorder="1" applyAlignment="1" applyProtection="1">
      <alignment vertical="center"/>
    </xf>
    <xf numFmtId="165" fontId="48" fillId="0" borderId="3" xfId="0" applyNumberFormat="1" applyFont="1" applyFill="1" applyBorder="1" applyAlignment="1" applyProtection="1">
      <alignment vertical="center"/>
    </xf>
    <xf numFmtId="165" fontId="5" fillId="0" borderId="43" xfId="0" applyNumberFormat="1" applyFont="1" applyFill="1" applyBorder="1" applyAlignment="1" applyProtection="1">
      <alignment vertical="center"/>
    </xf>
    <xf numFmtId="165" fontId="26" fillId="0" borderId="8" xfId="0" applyNumberFormat="1" applyFont="1" applyFill="1" applyBorder="1" applyAlignment="1" applyProtection="1">
      <alignment vertical="center"/>
    </xf>
    <xf numFmtId="166" fontId="4" fillId="0" borderId="10" xfId="0" applyNumberFormat="1" applyFont="1" applyFill="1" applyBorder="1" applyAlignment="1" applyProtection="1">
      <alignment vertical="center"/>
    </xf>
    <xf numFmtId="166" fontId="4" fillId="0" borderId="0" xfId="0" applyNumberFormat="1" applyFont="1" applyFill="1" applyBorder="1" applyAlignment="1" applyProtection="1">
      <alignment horizontal="center" vertical="center"/>
    </xf>
    <xf numFmtId="166" fontId="4"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166" fontId="4" fillId="0" borderId="10" xfId="15" applyNumberFormat="1" applyFont="1" applyFill="1" applyBorder="1" applyAlignment="1" applyProtection="1">
      <alignment vertical="center"/>
    </xf>
    <xf numFmtId="166" fontId="4" fillId="0" borderId="0" xfId="15" applyNumberFormat="1" applyFont="1" applyFill="1" applyBorder="1" applyAlignment="1" applyProtection="1">
      <alignment vertical="center"/>
    </xf>
    <xf numFmtId="166" fontId="5" fillId="0" borderId="10" xfId="0" applyNumberFormat="1" applyFont="1" applyFill="1" applyBorder="1" applyAlignment="1" applyProtection="1">
      <alignment horizontal="center" vertical="center"/>
    </xf>
    <xf numFmtId="166" fontId="5" fillId="0" borderId="10" xfId="0" applyNumberFormat="1" applyFont="1" applyFill="1" applyBorder="1" applyAlignment="1" applyProtection="1">
      <alignment vertical="center"/>
    </xf>
    <xf numFmtId="165" fontId="6" fillId="0" borderId="117" xfId="0" applyNumberFormat="1" applyFont="1" applyFill="1" applyBorder="1" applyAlignment="1" applyProtection="1">
      <alignment vertical="center"/>
    </xf>
    <xf numFmtId="165" fontId="4" fillId="0" borderId="93" xfId="0" applyNumberFormat="1" applyFont="1" applyFill="1" applyBorder="1" applyAlignment="1" applyProtection="1">
      <alignment vertical="center"/>
    </xf>
    <xf numFmtId="165" fontId="14" fillId="0" borderId="8" xfId="0" applyNumberFormat="1" applyFont="1" applyFill="1" applyBorder="1" applyAlignment="1" applyProtection="1">
      <alignment vertical="center"/>
    </xf>
    <xf numFmtId="165" fontId="12" fillId="0" borderId="43" xfId="0" applyNumberFormat="1" applyFont="1" applyBorder="1" applyAlignment="1" applyProtection="1">
      <alignment vertical="center"/>
    </xf>
    <xf numFmtId="165" fontId="12" fillId="0" borderId="8" xfId="0" applyNumberFormat="1" applyFont="1" applyBorder="1" applyAlignment="1" applyProtection="1">
      <alignment vertical="center"/>
    </xf>
    <xf numFmtId="165" fontId="14" fillId="0" borderId="8" xfId="0" applyNumberFormat="1" applyFont="1" applyBorder="1" applyAlignment="1" applyProtection="1">
      <alignment vertical="center"/>
    </xf>
    <xf numFmtId="165" fontId="14" fillId="0" borderId="93" xfId="0" applyNumberFormat="1" applyFont="1" applyBorder="1" applyAlignment="1" applyProtection="1">
      <alignment vertical="center"/>
    </xf>
    <xf numFmtId="165" fontId="14" fillId="0" borderId="34" xfId="0" applyNumberFormat="1" applyFont="1" applyBorder="1" applyAlignment="1" applyProtection="1">
      <alignment vertical="center"/>
    </xf>
    <xf numFmtId="165" fontId="14" fillId="0" borderId="118" xfId="0" applyNumberFormat="1" applyFont="1" applyBorder="1" applyAlignment="1" applyProtection="1">
      <alignment vertical="center"/>
    </xf>
    <xf numFmtId="165" fontId="14" fillId="0" borderId="101" xfId="0" applyNumberFormat="1" applyFont="1" applyBorder="1" applyAlignment="1" applyProtection="1">
      <alignment vertical="center"/>
    </xf>
    <xf numFmtId="165" fontId="20" fillId="0" borderId="8" xfId="0" applyNumberFormat="1" applyFont="1" applyFill="1" applyBorder="1" applyAlignment="1" applyProtection="1">
      <alignment vertical="center"/>
    </xf>
    <xf numFmtId="165" fontId="20" fillId="0" borderId="3" xfId="0" applyNumberFormat="1" applyFont="1" applyFill="1" applyBorder="1" applyAlignment="1" applyProtection="1">
      <alignment vertical="center"/>
    </xf>
    <xf numFmtId="165" fontId="51" fillId="0" borderId="8" xfId="0" applyNumberFormat="1" applyFont="1" applyFill="1" applyBorder="1" applyAlignment="1" applyProtection="1">
      <alignment vertical="center"/>
    </xf>
    <xf numFmtId="165" fontId="20" fillId="0" borderId="43" xfId="0" applyNumberFormat="1" applyFont="1" applyFill="1" applyBorder="1" applyAlignment="1" applyProtection="1">
      <alignment vertical="center"/>
    </xf>
    <xf numFmtId="165" fontId="5" fillId="0" borderId="118" xfId="0" applyNumberFormat="1" applyFont="1" applyFill="1" applyBorder="1" applyAlignment="1" applyProtection="1">
      <alignment vertical="center"/>
    </xf>
    <xf numFmtId="165" fontId="4" fillId="0" borderId="118" xfId="0" applyNumberFormat="1" applyFont="1" applyBorder="1" applyAlignment="1" applyProtection="1">
      <alignment vertical="center"/>
    </xf>
    <xf numFmtId="165" fontId="18" fillId="3" borderId="40" xfId="0" applyNumberFormat="1" applyFont="1" applyFill="1" applyBorder="1" applyAlignment="1" applyProtection="1">
      <alignment vertical="center"/>
      <protection locked="0"/>
    </xf>
    <xf numFmtId="165" fontId="4" fillId="0" borderId="40" xfId="0" applyNumberFormat="1" applyFont="1" applyBorder="1" applyAlignment="1" applyProtection="1">
      <alignment vertical="center"/>
    </xf>
    <xf numFmtId="165" fontId="4" fillId="0" borderId="119" xfId="0" applyNumberFormat="1" applyFont="1" applyBorder="1" applyAlignment="1" applyProtection="1">
      <alignment vertical="center"/>
    </xf>
    <xf numFmtId="165" fontId="18" fillId="0" borderId="120" xfId="0" applyNumberFormat="1" applyFont="1" applyFill="1" applyBorder="1" applyAlignment="1" applyProtection="1">
      <alignment vertical="center"/>
    </xf>
    <xf numFmtId="165" fontId="4" fillId="0" borderId="120" xfId="0" applyNumberFormat="1" applyFont="1" applyFill="1" applyBorder="1" applyAlignment="1" applyProtection="1">
      <alignment vertical="center"/>
    </xf>
    <xf numFmtId="165" fontId="4" fillId="0" borderId="121" xfId="0" applyNumberFormat="1" applyFont="1" applyFill="1" applyBorder="1" applyAlignment="1" applyProtection="1">
      <alignment vertical="center"/>
    </xf>
    <xf numFmtId="165" fontId="18" fillId="3" borderId="122" xfId="0" applyNumberFormat="1" applyFont="1" applyFill="1" applyBorder="1" applyAlignment="1" applyProtection="1">
      <alignment vertical="center"/>
      <protection locked="0"/>
    </xf>
    <xf numFmtId="165" fontId="4" fillId="0" borderId="123" xfId="0" applyNumberFormat="1" applyFont="1" applyBorder="1" applyAlignment="1" applyProtection="1">
      <alignment vertical="center"/>
    </xf>
    <xf numFmtId="0" fontId="5" fillId="0" borderId="124" xfId="0" applyFont="1" applyFill="1" applyBorder="1" applyAlignment="1" applyProtection="1">
      <alignment vertical="center"/>
    </xf>
    <xf numFmtId="0" fontId="25" fillId="0" borderId="1" xfId="0" applyFont="1" applyBorder="1" applyAlignment="1" applyProtection="1">
      <alignment horizontal="right" vertical="center"/>
    </xf>
    <xf numFmtId="170" fontId="25" fillId="0" borderId="1" xfId="0" applyNumberFormat="1" applyFont="1" applyFill="1" applyBorder="1" applyAlignment="1" applyProtection="1">
      <alignment horizontal="right" vertical="center"/>
    </xf>
    <xf numFmtId="165" fontId="26" fillId="0" borderId="118" xfId="0" applyNumberFormat="1" applyFont="1" applyFill="1" applyBorder="1" applyAlignment="1" applyProtection="1">
      <alignment vertical="center"/>
    </xf>
    <xf numFmtId="0" fontId="15" fillId="0" borderId="94"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horizontal="center" vertical="center" wrapText="1"/>
    </xf>
    <xf numFmtId="0" fontId="15" fillId="0" borderId="71" xfId="0" applyFont="1" applyBorder="1" applyAlignment="1">
      <alignment horizontal="center" vertical="center" wrapText="1"/>
    </xf>
    <xf numFmtId="165" fontId="14" fillId="0" borderId="44" xfId="0" applyNumberFormat="1" applyFont="1" applyBorder="1" applyAlignment="1">
      <alignment vertical="center"/>
    </xf>
    <xf numFmtId="165" fontId="15" fillId="0" borderId="71" xfId="0" applyNumberFormat="1" applyFont="1" applyBorder="1" applyAlignment="1">
      <alignment horizontal="center" vertical="center" wrapText="1"/>
    </xf>
    <xf numFmtId="166" fontId="18" fillId="3" borderId="27" xfId="0" applyNumberFormat="1" applyFont="1" applyFill="1" applyBorder="1" applyAlignment="1" applyProtection="1">
      <alignment vertical="center"/>
      <protection locked="0"/>
    </xf>
    <xf numFmtId="2" fontId="19" fillId="3" borderId="26" xfId="0" applyNumberFormat="1" applyFont="1" applyFill="1" applyBorder="1" applyAlignment="1" applyProtection="1">
      <alignment vertical="center"/>
      <protection locked="0"/>
    </xf>
    <xf numFmtId="2" fontId="19" fillId="3" borderId="27" xfId="0" applyNumberFormat="1" applyFont="1" applyFill="1" applyBorder="1" applyAlignment="1" applyProtection="1">
      <alignment vertical="center"/>
      <protection locked="0"/>
    </xf>
    <xf numFmtId="2" fontId="15" fillId="0" borderId="13" xfId="0" applyNumberFormat="1" applyFont="1" applyBorder="1" applyAlignment="1">
      <alignment horizontal="right" vertical="center"/>
    </xf>
    <xf numFmtId="2" fontId="15" fillId="0" borderId="7" xfId="0" applyNumberFormat="1" applyFont="1" applyBorder="1" applyAlignment="1">
      <alignment horizontal="center" vertical="center"/>
    </xf>
    <xf numFmtId="2" fontId="19" fillId="3" borderId="127" xfId="0" applyNumberFormat="1" applyFont="1" applyFill="1" applyBorder="1" applyAlignment="1" applyProtection="1">
      <alignment vertical="center"/>
      <protection locked="0"/>
    </xf>
    <xf numFmtId="2" fontId="7" fillId="0" borderId="0" xfId="0" applyNumberFormat="1" applyFont="1" applyBorder="1" applyAlignment="1">
      <alignment horizontal="right" vertical="center"/>
    </xf>
    <xf numFmtId="2" fontId="15" fillId="0" borderId="0" xfId="0" applyNumberFormat="1" applyFont="1" applyBorder="1" applyAlignment="1">
      <alignment horizontal="right" vertical="center"/>
    </xf>
    <xf numFmtId="2" fontId="15" fillId="0" borderId="5" xfId="0" applyNumberFormat="1" applyFont="1" applyBorder="1" applyAlignment="1">
      <alignment horizontal="right" vertical="center"/>
    </xf>
    <xf numFmtId="0" fontId="15" fillId="0" borderId="94" xfId="0" applyFont="1" applyBorder="1" applyAlignment="1">
      <alignment horizontal="center" vertical="center" wrapText="1"/>
    </xf>
    <xf numFmtId="0" fontId="15" fillId="0" borderId="21" xfId="0" applyFont="1" applyBorder="1" applyAlignment="1">
      <alignment horizontal="center" vertical="center"/>
    </xf>
    <xf numFmtId="0" fontId="15" fillId="0" borderId="21" xfId="0"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51" xfId="0" applyFont="1" applyBorder="1" applyAlignment="1">
      <alignment horizontal="center" vertical="center" wrapText="1"/>
    </xf>
    <xf numFmtId="0" fontId="15" fillId="0" borderId="45" xfId="0" applyFont="1" applyBorder="1" applyAlignment="1">
      <alignment horizontal="center" vertical="center" wrapText="1"/>
    </xf>
    <xf numFmtId="166" fontId="18" fillId="3" borderId="26" xfId="0" applyNumberFormat="1" applyFont="1" applyFill="1" applyBorder="1" applyAlignment="1" applyProtection="1">
      <alignment vertical="center"/>
      <protection locked="0"/>
    </xf>
    <xf numFmtId="0" fontId="18" fillId="3" borderId="62" xfId="0" applyFont="1" applyFill="1" applyBorder="1" applyAlignment="1" applyProtection="1">
      <alignment vertical="center"/>
      <protection locked="0"/>
    </xf>
    <xf numFmtId="166" fontId="18" fillId="3" borderId="7" xfId="0" applyNumberFormat="1" applyFont="1" applyFill="1" applyBorder="1" applyAlignment="1" applyProtection="1">
      <alignment vertical="center"/>
      <protection locked="0"/>
    </xf>
    <xf numFmtId="9" fontId="18" fillId="3" borderId="26" xfId="15" applyFont="1" applyFill="1" applyBorder="1" applyAlignment="1" applyProtection="1">
      <alignment vertical="center"/>
      <protection locked="0"/>
    </xf>
    <xf numFmtId="9" fontId="18" fillId="3" borderId="27" xfId="15" applyFont="1" applyFill="1" applyBorder="1" applyAlignment="1" applyProtection="1">
      <alignment vertical="center"/>
      <protection locked="0"/>
    </xf>
    <xf numFmtId="0" fontId="7" fillId="0" borderId="52" xfId="0" applyFont="1" applyBorder="1" applyAlignment="1">
      <alignment horizontal="right" vertical="center"/>
    </xf>
    <xf numFmtId="0" fontId="15" fillId="0" borderId="29" xfId="0" applyFont="1" applyBorder="1" applyAlignment="1">
      <alignment horizontal="center" vertical="center" wrapText="1"/>
    </xf>
    <xf numFmtId="0" fontId="15" fillId="0" borderId="28" xfId="0" applyFont="1" applyBorder="1" applyAlignment="1">
      <alignment horizontal="center" vertical="center" wrapText="1"/>
    </xf>
    <xf numFmtId="0" fontId="12" fillId="0" borderId="0" xfId="0" applyFont="1" applyBorder="1" applyAlignment="1" applyProtection="1">
      <alignment vertical="center"/>
      <protection locked="0"/>
    </xf>
    <xf numFmtId="0" fontId="92" fillId="0" borderId="0" xfId="0" applyFont="1" applyFill="1" applyBorder="1" applyAlignment="1" applyProtection="1">
      <alignment horizontal="center" vertical="center"/>
    </xf>
    <xf numFmtId="0" fontId="96" fillId="0" borderId="131" xfId="0" applyFont="1" applyFill="1" applyBorder="1" applyAlignment="1" applyProtection="1">
      <alignment horizontal="right" vertical="center"/>
    </xf>
    <xf numFmtId="9" fontId="27" fillId="3" borderId="21" xfId="0" applyNumberFormat="1" applyFont="1" applyFill="1" applyBorder="1" applyAlignment="1" applyProtection="1">
      <alignment horizontal="center" vertical="center"/>
      <protection locked="0"/>
    </xf>
    <xf numFmtId="0" fontId="14" fillId="0" borderId="132" xfId="0" applyFont="1" applyBorder="1" applyAlignment="1" applyProtection="1">
      <alignment horizontal="right" vertical="center"/>
    </xf>
    <xf numFmtId="0" fontId="27" fillId="0" borderId="0" xfId="0" applyFont="1" applyFill="1"/>
    <xf numFmtId="0" fontId="97" fillId="0" borderId="0" xfId="0" applyFont="1" applyFill="1"/>
    <xf numFmtId="49" fontId="15" fillId="0" borderId="21" xfId="0" applyNumberFormat="1" applyFont="1" applyBorder="1" applyAlignment="1" applyProtection="1">
      <alignment horizontal="right" vertical="center"/>
    </xf>
    <xf numFmtId="0" fontId="40" fillId="0" borderId="0" xfId="0" applyFont="1" applyFill="1" applyBorder="1" applyAlignment="1" applyProtection="1">
      <alignment horizontal="center" vertical="center"/>
    </xf>
    <xf numFmtId="0" fontId="25" fillId="0" borderId="131" xfId="0" applyFont="1" applyFill="1" applyBorder="1" applyAlignment="1" applyProtection="1">
      <alignment horizontal="right" vertical="center"/>
    </xf>
    <xf numFmtId="0" fontId="27" fillId="3" borderId="21" xfId="0" applyFont="1" applyFill="1" applyBorder="1" applyAlignment="1" applyProtection="1">
      <alignment horizontal="center" vertical="center"/>
      <protection locked="0"/>
    </xf>
    <xf numFmtId="1" fontId="98" fillId="3" borderId="21" xfId="0" applyNumberFormat="1" applyFont="1" applyFill="1" applyBorder="1" applyAlignment="1" applyProtection="1">
      <alignment horizontal="center" vertical="center"/>
      <protection locked="0"/>
    </xf>
    <xf numFmtId="0" fontId="27" fillId="0" borderId="21" xfId="0" applyFont="1" applyBorder="1" applyAlignment="1">
      <alignment horizontal="right" vertical="center"/>
    </xf>
    <xf numFmtId="165" fontId="27" fillId="3" borderId="45" xfId="0" applyNumberFormat="1" applyFont="1" applyFill="1" applyBorder="1" applyAlignment="1" applyProtection="1">
      <alignment vertical="center"/>
      <protection locked="0"/>
    </xf>
    <xf numFmtId="0" fontId="6" fillId="3" borderId="17" xfId="13" applyFont="1" applyFill="1" applyBorder="1" applyAlignment="1" applyProtection="1">
      <alignment horizontal="right" vertical="center"/>
      <protection locked="0"/>
    </xf>
    <xf numFmtId="165" fontId="27" fillId="0" borderId="101" xfId="0" applyNumberFormat="1" applyFont="1" applyBorder="1" applyAlignment="1" applyProtection="1">
      <alignment vertical="center"/>
    </xf>
    <xf numFmtId="0" fontId="45" fillId="0" borderId="133" xfId="0" applyFont="1" applyBorder="1" applyAlignment="1" applyProtection="1">
      <alignment horizontal="center" vertical="center"/>
    </xf>
    <xf numFmtId="0" fontId="101" fillId="0" borderId="4" xfId="0" applyFont="1" applyBorder="1" applyAlignment="1" applyProtection="1">
      <alignment horizontal="center" vertical="center"/>
    </xf>
    <xf numFmtId="49" fontId="31" fillId="0" borderId="70" xfId="0" applyNumberFormat="1" applyFont="1" applyBorder="1" applyAlignment="1" applyProtection="1">
      <alignment horizontal="left" vertical="center"/>
    </xf>
    <xf numFmtId="0" fontId="12" fillId="0" borderId="4" xfId="0" applyFont="1" applyBorder="1" applyAlignment="1" applyProtection="1">
      <alignment horizontal="right" vertical="center"/>
    </xf>
    <xf numFmtId="0" fontId="15" fillId="6" borderId="134" xfId="0" applyFont="1" applyFill="1" applyBorder="1" applyAlignment="1" applyProtection="1">
      <alignment horizontal="center" vertical="top" wrapText="1"/>
    </xf>
    <xf numFmtId="0" fontId="85" fillId="6" borderId="135" xfId="0" applyFont="1" applyFill="1" applyBorder="1" applyAlignment="1" applyProtection="1">
      <alignment horizontal="left" vertical="top" wrapText="1"/>
    </xf>
    <xf numFmtId="173" fontId="15" fillId="0" borderId="136" xfId="0" applyNumberFormat="1" applyFont="1" applyFill="1" applyBorder="1" applyAlignment="1" applyProtection="1">
      <alignment horizontal="right" vertical="center"/>
    </xf>
    <xf numFmtId="175" fontId="15" fillId="0" borderId="101" xfId="0" applyNumberFormat="1" applyFont="1" applyFill="1" applyBorder="1" applyAlignment="1" applyProtection="1">
      <alignment horizontal="right" vertical="center"/>
    </xf>
    <xf numFmtId="175" fontId="25" fillId="0" borderId="120" xfId="0" applyNumberFormat="1" applyFont="1" applyFill="1" applyBorder="1" applyAlignment="1" applyProtection="1">
      <alignment horizontal="center" vertical="center"/>
    </xf>
    <xf numFmtId="175" fontId="80" fillId="0" borderId="121" xfId="0" applyNumberFormat="1" applyFont="1" applyFill="1" applyBorder="1" applyAlignment="1" applyProtection="1">
      <alignment horizontal="center" vertical="center"/>
    </xf>
    <xf numFmtId="165" fontId="14" fillId="3" borderId="135" xfId="0" applyNumberFormat="1" applyFont="1" applyFill="1" applyBorder="1" applyAlignment="1" applyProtection="1">
      <alignment horizontal="right" vertical="center"/>
    </xf>
    <xf numFmtId="165" fontId="14" fillId="3" borderId="84" xfId="0" applyNumberFormat="1" applyFont="1" applyFill="1" applyBorder="1" applyAlignment="1" applyProtection="1">
      <alignment horizontal="right" vertical="center"/>
    </xf>
    <xf numFmtId="165" fontId="14" fillId="3" borderId="137" xfId="0" applyNumberFormat="1" applyFont="1" applyFill="1" applyBorder="1" applyAlignment="1" applyProtection="1">
      <alignment horizontal="right" vertical="center"/>
    </xf>
    <xf numFmtId="165" fontId="14" fillId="3" borderId="128" xfId="0" applyNumberFormat="1" applyFont="1" applyFill="1" applyBorder="1" applyAlignment="1" applyProtection="1">
      <alignment horizontal="right" vertical="center"/>
    </xf>
    <xf numFmtId="165" fontId="14" fillId="3" borderId="21" xfId="0" applyNumberFormat="1" applyFont="1" applyFill="1" applyBorder="1" applyAlignment="1" applyProtection="1">
      <alignment horizontal="right" vertical="center"/>
    </xf>
    <xf numFmtId="165" fontId="14" fillId="3" borderId="45" xfId="0" applyNumberFormat="1" applyFont="1" applyFill="1" applyBorder="1" applyAlignment="1" applyProtection="1">
      <alignment horizontal="right" vertical="center"/>
    </xf>
    <xf numFmtId="165" fontId="14" fillId="3" borderId="138" xfId="0" applyNumberFormat="1" applyFont="1" applyFill="1" applyBorder="1" applyAlignment="1" applyProtection="1">
      <alignment horizontal="right" vertical="center"/>
    </xf>
    <xf numFmtId="165" fontId="14" fillId="3" borderId="139" xfId="0" applyNumberFormat="1" applyFont="1" applyFill="1" applyBorder="1" applyAlignment="1" applyProtection="1">
      <alignment horizontal="right" vertical="center"/>
    </xf>
    <xf numFmtId="165" fontId="14" fillId="10" borderId="98" xfId="0" applyNumberFormat="1" applyFont="1" applyFill="1" applyBorder="1" applyAlignment="1" applyProtection="1">
      <alignment horizontal="right" vertical="center"/>
    </xf>
    <xf numFmtId="165" fontId="14" fillId="10" borderId="114" xfId="0" applyNumberFormat="1" applyFont="1" applyFill="1" applyBorder="1" applyAlignment="1" applyProtection="1">
      <alignment horizontal="right" vertical="center"/>
    </xf>
    <xf numFmtId="165" fontId="14" fillId="0" borderId="140" xfId="0" applyNumberFormat="1" applyFont="1" applyFill="1" applyBorder="1" applyAlignment="1" applyProtection="1">
      <alignment horizontal="right" vertical="center"/>
    </xf>
    <xf numFmtId="49" fontId="15" fillId="8" borderId="7" xfId="0" applyNumberFormat="1" applyFont="1" applyFill="1" applyBorder="1" applyAlignment="1" applyProtection="1">
      <alignment horizontal="center" vertical="center"/>
    </xf>
    <xf numFmtId="180" fontId="15" fillId="3" borderId="21" xfId="0" applyNumberFormat="1" applyFont="1" applyFill="1" applyBorder="1" applyAlignment="1" applyProtection="1">
      <alignment horizontal="center" vertical="center"/>
    </xf>
    <xf numFmtId="181" fontId="15" fillId="3" borderId="21" xfId="0" applyNumberFormat="1" applyFont="1" applyFill="1" applyBorder="1" applyAlignment="1" applyProtection="1">
      <alignment horizontal="center" vertical="center"/>
    </xf>
    <xf numFmtId="49" fontId="15" fillId="3" borderId="21" xfId="0" applyNumberFormat="1" applyFont="1" applyFill="1" applyBorder="1" applyAlignment="1" applyProtection="1">
      <alignment horizontal="center" vertical="center"/>
    </xf>
    <xf numFmtId="182" fontId="15" fillId="3" borderId="21" xfId="0" applyNumberFormat="1" applyFont="1" applyFill="1" applyBorder="1" applyAlignment="1" applyProtection="1">
      <alignment horizontal="center" vertical="center"/>
    </xf>
    <xf numFmtId="183" fontId="15" fillId="3" borderId="7" xfId="0" applyNumberFormat="1" applyFont="1" applyFill="1" applyBorder="1" applyAlignment="1" applyProtection="1">
      <alignment horizontal="center" vertical="center"/>
    </xf>
    <xf numFmtId="0" fontId="15" fillId="3" borderId="21" xfId="0" applyNumberFormat="1" applyFont="1" applyFill="1" applyBorder="1" applyAlignment="1" applyProtection="1">
      <alignment horizontal="center" vertical="center"/>
    </xf>
    <xf numFmtId="0" fontId="15" fillId="3" borderId="26" xfId="0" applyNumberFormat="1" applyFont="1" applyFill="1" applyBorder="1" applyAlignment="1" applyProtection="1">
      <alignment horizontal="center" vertical="center"/>
    </xf>
    <xf numFmtId="0" fontId="14" fillId="0" borderId="47" xfId="0" applyFont="1" applyFill="1" applyBorder="1" applyAlignment="1" applyProtection="1">
      <alignment vertical="center"/>
    </xf>
    <xf numFmtId="0" fontId="0" fillId="0" borderId="8" xfId="0" applyBorder="1"/>
    <xf numFmtId="164" fontId="14" fillId="5" borderId="34" xfId="0" applyNumberFormat="1" applyFont="1" applyFill="1" applyBorder="1" applyAlignment="1" applyProtection="1">
      <alignment vertical="center"/>
    </xf>
    <xf numFmtId="0" fontId="27" fillId="3" borderId="135" xfId="0" applyFont="1" applyFill="1" applyBorder="1" applyAlignment="1" applyProtection="1">
      <alignment horizontal="center" vertical="center" wrapText="1"/>
      <protection locked="0"/>
    </xf>
    <xf numFmtId="165" fontId="14" fillId="3" borderId="137" xfId="0" applyNumberFormat="1" applyFont="1" applyFill="1" applyBorder="1" applyAlignment="1" applyProtection="1">
      <alignment horizontal="right" vertical="center"/>
      <protection locked="0"/>
    </xf>
    <xf numFmtId="165" fontId="14" fillId="3" borderId="128" xfId="0" applyNumberFormat="1" applyFont="1" applyFill="1" applyBorder="1" applyAlignment="1" applyProtection="1">
      <alignment horizontal="right" vertical="center"/>
      <protection locked="0"/>
    </xf>
    <xf numFmtId="165" fontId="14" fillId="3" borderId="21" xfId="0" applyNumberFormat="1" applyFont="1" applyFill="1" applyBorder="1" applyAlignment="1" applyProtection="1">
      <alignment horizontal="right" vertical="center"/>
      <protection locked="0"/>
    </xf>
    <xf numFmtId="165" fontId="14" fillId="3" borderId="45" xfId="0" applyNumberFormat="1" applyFont="1" applyFill="1" applyBorder="1" applyAlignment="1" applyProtection="1">
      <alignment horizontal="right" vertical="center"/>
      <protection locked="0"/>
    </xf>
    <xf numFmtId="165" fontId="14" fillId="3" borderId="138" xfId="0" applyNumberFormat="1" applyFont="1" applyFill="1" applyBorder="1" applyAlignment="1" applyProtection="1">
      <alignment horizontal="right" vertical="center"/>
      <protection locked="0"/>
    </xf>
    <xf numFmtId="165" fontId="14" fillId="3" borderId="139" xfId="0" applyNumberFormat="1" applyFont="1" applyFill="1" applyBorder="1" applyAlignment="1" applyProtection="1">
      <alignment horizontal="right" vertical="center"/>
      <protection locked="0"/>
    </xf>
    <xf numFmtId="175" fontId="25" fillId="0" borderId="135" xfId="0" applyNumberFormat="1" applyFont="1" applyFill="1" applyBorder="1" applyAlignment="1" applyProtection="1">
      <alignment horizontal="center" vertical="center"/>
    </xf>
    <xf numFmtId="10" fontId="27" fillId="0" borderId="65" xfId="0" applyNumberFormat="1" applyFont="1" applyFill="1" applyBorder="1" applyAlignment="1" applyProtection="1">
      <alignment horizontal="right" vertical="center"/>
    </xf>
    <xf numFmtId="165" fontId="27" fillId="0" borderId="101" xfId="0" applyNumberFormat="1" applyFont="1" applyFill="1" applyBorder="1" applyAlignment="1" applyProtection="1">
      <alignment vertical="center"/>
    </xf>
    <xf numFmtId="165" fontId="14" fillId="3" borderId="87" xfId="0" applyNumberFormat="1" applyFont="1" applyFill="1" applyBorder="1" applyAlignment="1" applyProtection="1">
      <alignment horizontal="right" vertical="center"/>
      <protection locked="0"/>
    </xf>
    <xf numFmtId="0" fontId="103" fillId="0" borderId="94" xfId="0" applyFont="1" applyBorder="1" applyAlignment="1" applyProtection="1">
      <alignment vertical="center"/>
      <protection locked="0"/>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NumberFormat="1" applyFont="1" applyAlignment="1">
      <alignment vertical="center" wrapText="1"/>
    </xf>
    <xf numFmtId="10" fontId="14" fillId="0" borderId="142" xfId="0" applyNumberFormat="1" applyFont="1" applyBorder="1" applyAlignment="1">
      <alignment horizontal="center"/>
    </xf>
    <xf numFmtId="10" fontId="14" fillId="0" borderId="144" xfId="15" applyNumberFormat="1" applyFont="1" applyBorder="1" applyAlignment="1">
      <alignment horizontal="center"/>
    </xf>
    <xf numFmtId="10" fontId="14" fillId="0" borderId="146" xfId="15" applyNumberFormat="1" applyFont="1" applyBorder="1" applyAlignment="1">
      <alignment horizontal="center"/>
    </xf>
    <xf numFmtId="0" fontId="12" fillId="0" borderId="0" xfId="0" applyFont="1" applyBorder="1"/>
    <xf numFmtId="0" fontId="25" fillId="0" borderId="141" xfId="0" applyFont="1" applyFill="1" applyBorder="1" applyAlignment="1"/>
    <xf numFmtId="0" fontId="25" fillId="0" borderId="137" xfId="0" applyFont="1" applyFill="1" applyBorder="1" applyAlignment="1"/>
    <xf numFmtId="0" fontId="25" fillId="0" borderId="137" xfId="0" applyFont="1" applyFill="1" applyBorder="1" applyAlignment="1" applyProtection="1">
      <alignment wrapText="1"/>
    </xf>
    <xf numFmtId="0" fontId="25" fillId="0" borderId="137" xfId="0" applyFont="1" applyFill="1" applyBorder="1" applyAlignment="1" applyProtection="1"/>
    <xf numFmtId="0" fontId="25" fillId="0" borderId="137" xfId="0" applyFont="1" applyFill="1" applyBorder="1" applyAlignment="1" applyProtection="1">
      <alignment horizontal="center" wrapText="1"/>
    </xf>
    <xf numFmtId="0" fontId="25" fillId="0" borderId="142" xfId="0" applyFont="1" applyFill="1" applyBorder="1" applyAlignment="1">
      <alignment horizontal="center"/>
    </xf>
    <xf numFmtId="0" fontId="104" fillId="0" borderId="0" xfId="0" applyFont="1"/>
    <xf numFmtId="0" fontId="12" fillId="0" borderId="0" xfId="0" applyFont="1" applyBorder="1" applyAlignment="1" applyProtection="1">
      <alignment vertical="center"/>
    </xf>
    <xf numFmtId="0" fontId="12" fillId="0" borderId="0" xfId="0" applyFont="1" applyBorder="1" applyAlignment="1">
      <alignment horizontal="right" vertic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5" fillId="0" borderId="94" xfId="0" applyFont="1" applyBorder="1" applyAlignment="1">
      <alignment horizontal="center" vertical="center"/>
    </xf>
    <xf numFmtId="0" fontId="18" fillId="3" borderId="39" xfId="0" applyFont="1" applyFill="1" applyBorder="1" applyAlignment="1" applyProtection="1">
      <alignment vertical="center"/>
      <protection locked="0"/>
    </xf>
    <xf numFmtId="0" fontId="18" fillId="3" borderId="105"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49" fontId="15" fillId="8" borderId="147" xfId="0" applyNumberFormat="1" applyFont="1" applyFill="1" applyBorder="1" applyAlignment="1" applyProtection="1">
      <alignment horizontal="left" vertical="center"/>
      <protection locked="0"/>
    </xf>
    <xf numFmtId="49" fontId="15" fillId="3" borderId="26" xfId="0" applyNumberFormat="1" applyFont="1" applyFill="1" applyBorder="1" applyAlignment="1" applyProtection="1">
      <alignment horizontal="left" vertical="center"/>
      <protection locked="0"/>
    </xf>
    <xf numFmtId="182" fontId="15" fillId="3" borderId="7" xfId="0" applyNumberFormat="1" applyFont="1" applyFill="1" applyBorder="1" applyAlignment="1" applyProtection="1">
      <alignment horizontal="left" vertical="center"/>
      <protection locked="0"/>
    </xf>
    <xf numFmtId="184" fontId="15" fillId="3" borderId="21" xfId="0" applyNumberFormat="1" applyFont="1" applyFill="1" applyBorder="1" applyAlignment="1" applyProtection="1">
      <alignment horizontal="left" vertical="center"/>
      <protection locked="0"/>
    </xf>
    <xf numFmtId="0" fontId="14" fillId="0" borderId="0" xfId="0" applyFont="1" applyBorder="1" applyAlignment="1">
      <alignment horizontal="right" vertic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8" fillId="3" borderId="103" xfId="0" applyFont="1" applyFill="1" applyBorder="1" applyAlignment="1" applyProtection="1">
      <alignment vertical="center"/>
      <protection locked="0"/>
    </xf>
    <xf numFmtId="0" fontId="15" fillId="0" borderId="94" xfId="0" applyFont="1" applyBorder="1" applyAlignment="1">
      <alignment horizontal="center" vertical="center"/>
    </xf>
    <xf numFmtId="0" fontId="18" fillId="3" borderId="105" xfId="0" applyFont="1" applyFill="1" applyBorder="1" applyAlignment="1" applyProtection="1">
      <alignment vertical="center"/>
      <protection locked="0"/>
    </xf>
    <xf numFmtId="0" fontId="18" fillId="3" borderId="104"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0" fontId="18" fillId="3" borderId="106" xfId="0" applyFont="1" applyFill="1" applyBorder="1" applyAlignment="1" applyProtection="1">
      <alignment vertical="center"/>
      <protection locked="0"/>
    </xf>
    <xf numFmtId="0" fontId="32" fillId="0" borderId="0" xfId="0"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center" vertical="top" wrapText="1"/>
    </xf>
    <xf numFmtId="0" fontId="105" fillId="0" borderId="0" xfId="0" applyFont="1" applyAlignment="1">
      <alignment vertical="center" wrapText="1"/>
    </xf>
    <xf numFmtId="0" fontId="66" fillId="0" borderId="0" xfId="0" applyFont="1" applyAlignment="1">
      <alignment vertical="center" wrapText="1"/>
    </xf>
    <xf numFmtId="173" fontId="15" fillId="3" borderId="21" xfId="0" applyNumberFormat="1" applyFont="1" applyFill="1" applyBorder="1" applyAlignment="1" applyProtection="1">
      <alignment horizontal="center" vertical="center"/>
      <protection locked="0"/>
    </xf>
    <xf numFmtId="0" fontId="14" fillId="0" borderId="29" xfId="0" applyFont="1" applyFill="1" applyBorder="1" applyAlignment="1" applyProtection="1">
      <alignment horizontal="right" vertical="center"/>
    </xf>
    <xf numFmtId="15" fontId="24" fillId="2" borderId="34" xfId="0" applyNumberFormat="1" applyFont="1" applyFill="1" applyBorder="1" applyAlignment="1" applyProtection="1">
      <alignment horizontal="right" vertical="center"/>
    </xf>
    <xf numFmtId="0" fontId="106" fillId="0" borderId="23" xfId="0" applyFont="1" applyBorder="1" applyAlignment="1">
      <alignment horizontal="left" vertical="center"/>
    </xf>
    <xf numFmtId="0" fontId="15" fillId="0" borderId="24" xfId="0" applyFont="1" applyBorder="1" applyAlignment="1">
      <alignment horizontal="left" vertical="center"/>
    </xf>
    <xf numFmtId="0" fontId="107" fillId="0" borderId="24" xfId="0" applyFont="1" applyBorder="1" applyAlignment="1">
      <alignment horizontal="center" vertical="center"/>
    </xf>
    <xf numFmtId="0" fontId="0" fillId="0" borderId="15" xfId="0" applyBorder="1"/>
    <xf numFmtId="0" fontId="0" fillId="0" borderId="43" xfId="0" applyBorder="1"/>
    <xf numFmtId="0" fontId="49" fillId="0" borderId="4" xfId="0" applyFont="1" applyBorder="1" applyAlignment="1">
      <alignment vertical="center"/>
    </xf>
    <xf numFmtId="0" fontId="49" fillId="0" borderId="0" xfId="0" applyFont="1" applyBorder="1" applyAlignment="1">
      <alignment vertical="center"/>
    </xf>
    <xf numFmtId="0" fontId="50" fillId="0" borderId="0" xfId="17" applyFont="1" applyBorder="1" applyAlignment="1">
      <alignment vertical="center"/>
    </xf>
    <xf numFmtId="184" fontId="39" fillId="0" borderId="5" xfId="0" applyNumberFormat="1" applyFont="1" applyBorder="1" applyAlignment="1">
      <alignment horizontal="left" vertical="center"/>
    </xf>
    <xf numFmtId="1" fontId="108" fillId="0" borderId="5" xfId="0" applyNumberFormat="1" applyFont="1" applyBorder="1" applyAlignment="1">
      <alignment horizontal="left" vertical="center"/>
    </xf>
    <xf numFmtId="1" fontId="12" fillId="0" borderId="5" xfId="0" applyNumberFormat="1" applyFont="1" applyBorder="1" applyAlignment="1">
      <alignment horizontal="left" vertical="center"/>
    </xf>
    <xf numFmtId="180" fontId="31" fillId="0" borderId="0" xfId="0" applyNumberFormat="1" applyFont="1" applyBorder="1" applyAlignment="1">
      <alignment horizontal="left" vertical="center"/>
    </xf>
    <xf numFmtId="0" fontId="0" fillId="0" borderId="34" xfId="0" applyBorder="1"/>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3" fillId="0" borderId="15" xfId="0" applyFont="1" applyBorder="1" applyAlignment="1">
      <alignment horizontal="right" vertical="center"/>
    </xf>
    <xf numFmtId="0" fontId="12" fillId="0" borderId="15" xfId="0" applyFont="1" applyBorder="1" applyAlignment="1">
      <alignment horizontal="left" vertical="center"/>
    </xf>
    <xf numFmtId="0" fontId="15" fillId="0" borderId="0" xfId="0" applyFont="1" applyBorder="1" applyAlignment="1">
      <alignment horizontal="left" vertical="center"/>
    </xf>
    <xf numFmtId="0" fontId="13" fillId="0" borderId="0" xfId="0" applyFont="1" applyBorder="1" applyAlignment="1">
      <alignment horizontal="right" vertical="center"/>
    </xf>
    <xf numFmtId="0" fontId="12" fillId="0" borderId="0" xfId="0" applyFont="1" applyBorder="1" applyAlignment="1">
      <alignment horizontal="left" vertical="center"/>
    </xf>
    <xf numFmtId="0" fontId="0" fillId="0" borderId="10" xfId="0" applyBorder="1"/>
    <xf numFmtId="0" fontId="0" fillId="0" borderId="93" xfId="0" applyBorder="1"/>
    <xf numFmtId="0" fontId="15" fillId="0" borderId="94" xfId="0" applyFont="1" applyBorder="1" applyAlignment="1">
      <alignment horizontal="center" vertical="center" wrapText="1"/>
    </xf>
    <xf numFmtId="0" fontId="0" fillId="0" borderId="29" xfId="0" applyBorder="1" applyAlignment="1">
      <alignment horizontal="center" vertical="center" wrapText="1"/>
    </xf>
    <xf numFmtId="0" fontId="18" fillId="3" borderId="48" xfId="0" applyFont="1" applyFill="1" applyBorder="1" applyAlignment="1" applyProtection="1">
      <alignment horizontal="center" vertical="center"/>
      <protection locked="0"/>
    </xf>
    <xf numFmtId="15" fontId="18" fillId="3" borderId="35" xfId="0" applyNumberFormat="1" applyFont="1" applyFill="1" applyBorder="1" applyAlignment="1" applyProtection="1">
      <alignment vertical="center"/>
      <protection locked="0"/>
    </xf>
    <xf numFmtId="165" fontId="1" fillId="0" borderId="70" xfId="1" applyFont="1" applyBorder="1" applyAlignment="1">
      <alignment vertical="center"/>
    </xf>
    <xf numFmtId="0" fontId="18" fillId="3" borderId="49" xfId="0" applyFont="1" applyFill="1" applyBorder="1" applyAlignment="1" applyProtection="1">
      <alignment horizontal="center" vertical="center"/>
      <protection locked="0"/>
    </xf>
    <xf numFmtId="15" fontId="18" fillId="3" borderId="36" xfId="0" applyNumberFormat="1" applyFont="1" applyFill="1" applyBorder="1" applyAlignment="1" applyProtection="1">
      <alignment vertical="center"/>
      <protection locked="0"/>
    </xf>
    <xf numFmtId="165" fontId="1" fillId="0" borderId="125" xfId="1" applyFont="1" applyBorder="1" applyAlignment="1">
      <alignment vertical="center"/>
    </xf>
    <xf numFmtId="0" fontId="18" fillId="3" borderId="50" xfId="0" applyFont="1" applyFill="1" applyBorder="1" applyAlignment="1" applyProtection="1">
      <alignment horizontal="center" vertical="center"/>
      <protection locked="0"/>
    </xf>
    <xf numFmtId="15" fontId="18" fillId="3" borderId="37" xfId="0" applyNumberFormat="1" applyFont="1" applyFill="1" applyBorder="1" applyAlignment="1" applyProtection="1">
      <alignment vertical="center"/>
      <protection locked="0"/>
    </xf>
    <xf numFmtId="165" fontId="1" fillId="0" borderId="84" xfId="1" applyFont="1" applyBorder="1" applyAlignment="1">
      <alignment vertical="center"/>
    </xf>
    <xf numFmtId="0" fontId="0" fillId="0" borderId="1" xfId="0" applyBorder="1"/>
    <xf numFmtId="166" fontId="7" fillId="0" borderId="73" xfId="0" applyNumberFormat="1" applyFont="1" applyBorder="1" applyAlignment="1">
      <alignment horizontal="right" vertical="center"/>
    </xf>
    <xf numFmtId="165" fontId="7" fillId="0" borderId="114" xfId="1" applyFont="1" applyBorder="1" applyAlignment="1">
      <alignment vertical="center"/>
    </xf>
    <xf numFmtId="166" fontId="7" fillId="0" borderId="0" xfId="0" applyNumberFormat="1" applyFont="1" applyBorder="1" applyAlignment="1">
      <alignment horizontal="right" vertical="center"/>
    </xf>
    <xf numFmtId="165" fontId="48" fillId="3" borderId="139" xfId="1" applyFont="1" applyFill="1" applyBorder="1" applyAlignment="1">
      <alignment vertical="center"/>
    </xf>
    <xf numFmtId="0" fontId="15" fillId="0" borderId="11" xfId="0" applyFont="1" applyBorder="1" applyAlignment="1">
      <alignment horizontal="left" vertical="center"/>
    </xf>
    <xf numFmtId="166" fontId="12" fillId="0" borderId="5" xfId="0" applyNumberFormat="1" applyFont="1" applyBorder="1" applyAlignment="1">
      <alignment vertical="center"/>
    </xf>
    <xf numFmtId="165" fontId="1" fillId="0" borderId="5" xfId="0" applyNumberFormat="1" applyFont="1" applyBorder="1" applyAlignment="1">
      <alignment vertical="center"/>
    </xf>
    <xf numFmtId="0" fontId="98" fillId="0" borderId="148" xfId="0" applyFont="1" applyBorder="1"/>
    <xf numFmtId="0" fontId="0" fillId="0" borderId="134" xfId="0" applyBorder="1"/>
    <xf numFmtId="0" fontId="0" fillId="0" borderId="151" xfId="0" applyBorder="1"/>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1" fillId="11" borderId="173" xfId="0" applyFont="1" applyFill="1" applyBorder="1" applyAlignment="1">
      <alignment wrapText="1"/>
    </xf>
    <xf numFmtId="186" fontId="1" fillId="11" borderId="170" xfId="0" quotePrefix="1" applyNumberFormat="1" applyFont="1" applyFill="1" applyBorder="1"/>
    <xf numFmtId="49" fontId="1" fillId="11" borderId="170" xfId="0" quotePrefix="1" applyNumberFormat="1" applyFont="1" applyFill="1" applyBorder="1"/>
    <xf numFmtId="49" fontId="1" fillId="11" borderId="170" xfId="0" applyNumberFormat="1" applyFont="1" applyFill="1" applyBorder="1"/>
    <xf numFmtId="186" fontId="1" fillId="11" borderId="170" xfId="0" quotePrefix="1" applyNumberFormat="1" applyFont="1" applyFill="1" applyBorder="1" applyAlignment="1">
      <alignment horizontal="center"/>
    </xf>
    <xf numFmtId="49" fontId="1" fillId="11" borderId="170" xfId="0" applyNumberFormat="1" applyFont="1" applyFill="1" applyBorder="1" applyAlignment="1">
      <alignment horizontal="center"/>
    </xf>
    <xf numFmtId="165" fontId="1" fillId="0" borderId="174" xfId="1" applyFont="1" applyBorder="1" applyAlignment="1">
      <alignment vertical="center"/>
    </xf>
    <xf numFmtId="0" fontId="0" fillId="11" borderId="175" xfId="0" applyFill="1" applyBorder="1"/>
    <xf numFmtId="186" fontId="1" fillId="11" borderId="171" xfId="0" quotePrefix="1" applyNumberFormat="1" applyFont="1" applyFill="1" applyBorder="1"/>
    <xf numFmtId="49" fontId="1" fillId="11" borderId="171" xfId="0" quotePrefix="1" applyNumberFormat="1" applyFont="1" applyFill="1" applyBorder="1"/>
    <xf numFmtId="49" fontId="1" fillId="11" borderId="171" xfId="0" applyNumberFormat="1" applyFont="1" applyFill="1" applyBorder="1"/>
    <xf numFmtId="49" fontId="1" fillId="11" borderId="171" xfId="0" applyNumberFormat="1" applyFont="1" applyFill="1" applyBorder="1" applyAlignment="1">
      <alignment horizontal="center"/>
    </xf>
    <xf numFmtId="186" fontId="1" fillId="11" borderId="171" xfId="0" quotePrefix="1" applyNumberFormat="1" applyFont="1" applyFill="1" applyBorder="1" applyAlignment="1">
      <alignment horizontal="center"/>
    </xf>
    <xf numFmtId="49" fontId="0" fillId="11" borderId="171" xfId="0" applyNumberFormat="1" applyFill="1" applyBorder="1"/>
    <xf numFmtId="165" fontId="1" fillId="0" borderId="176" xfId="1" applyFont="1" applyBorder="1" applyAlignment="1">
      <alignment vertical="center"/>
    </xf>
    <xf numFmtId="49" fontId="7" fillId="11" borderId="171" xfId="0" applyNumberFormat="1" applyFont="1" applyFill="1" applyBorder="1" applyAlignment="1">
      <alignment horizontal="center"/>
    </xf>
    <xf numFmtId="49" fontId="7" fillId="11" borderId="171" xfId="0" applyNumberFormat="1" applyFont="1" applyFill="1" applyBorder="1"/>
    <xf numFmtId="49" fontId="1" fillId="11" borderId="171" xfId="0" quotePrefix="1" applyNumberFormat="1" applyFont="1" applyFill="1" applyBorder="1" applyAlignment="1">
      <alignment horizontal="center"/>
    </xf>
    <xf numFmtId="0" fontId="18" fillId="11" borderId="177" xfId="0" applyFont="1" applyFill="1" applyBorder="1" applyAlignment="1" applyProtection="1">
      <alignment horizontal="center" vertical="center"/>
      <protection locked="0"/>
    </xf>
    <xf numFmtId="186" fontId="1" fillId="11" borderId="172" xfId="0" quotePrefix="1" applyNumberFormat="1" applyFont="1" applyFill="1" applyBorder="1"/>
    <xf numFmtId="49" fontId="18" fillId="11" borderId="172" xfId="0" applyNumberFormat="1" applyFont="1" applyFill="1" applyBorder="1" applyAlignment="1" applyProtection="1">
      <alignment vertical="center"/>
      <protection locked="0"/>
    </xf>
    <xf numFmtId="186" fontId="1" fillId="11" borderId="172" xfId="0" quotePrefix="1" applyNumberFormat="1" applyFont="1" applyFill="1" applyBorder="1" applyAlignment="1">
      <alignment horizontal="center"/>
    </xf>
    <xf numFmtId="49" fontId="18" fillId="11" borderId="172" xfId="0" applyNumberFormat="1" applyFont="1" applyFill="1" applyBorder="1" applyAlignment="1" applyProtection="1">
      <alignment vertical="center"/>
    </xf>
    <xf numFmtId="165" fontId="1" fillId="0" borderId="178" xfId="1" applyFont="1" applyBorder="1" applyAlignment="1">
      <alignment vertical="center"/>
    </xf>
    <xf numFmtId="165" fontId="7" fillId="0" borderId="113" xfId="1" applyFont="1" applyBorder="1" applyAlignment="1">
      <alignment vertical="center"/>
    </xf>
    <xf numFmtId="165" fontId="21" fillId="3" borderId="121" xfId="1" applyFont="1" applyFill="1" applyBorder="1" applyAlignment="1">
      <alignment vertical="center"/>
    </xf>
    <xf numFmtId="165" fontId="7" fillId="0" borderId="114" xfId="1" applyFont="1" applyFill="1" applyBorder="1" applyAlignment="1">
      <alignment vertical="center"/>
    </xf>
    <xf numFmtId="165" fontId="21" fillId="0" borderId="84" xfId="1" applyFont="1" applyFill="1" applyBorder="1" applyAlignment="1">
      <alignment vertical="center"/>
    </xf>
    <xf numFmtId="0" fontId="12" fillId="0" borderId="24" xfId="0" applyFont="1" applyBorder="1" applyAlignment="1">
      <alignment vertical="center"/>
    </xf>
    <xf numFmtId="166" fontId="12" fillId="0" borderId="15" xfId="0" applyNumberFormat="1" applyFont="1" applyBorder="1" applyAlignment="1">
      <alignment vertical="center"/>
    </xf>
    <xf numFmtId="165" fontId="1" fillId="0" borderId="43" xfId="0" applyNumberFormat="1" applyFont="1" applyBorder="1" applyAlignment="1">
      <alignment vertical="center"/>
    </xf>
    <xf numFmtId="0" fontId="7" fillId="0" borderId="48" xfId="0" applyFont="1" applyBorder="1" applyAlignment="1">
      <alignment horizontal="right" vertical="center"/>
    </xf>
    <xf numFmtId="166" fontId="12" fillId="0" borderId="0" xfId="0" applyNumberFormat="1" applyFont="1" applyBorder="1" applyAlignment="1">
      <alignment vertical="center"/>
    </xf>
    <xf numFmtId="165" fontId="1" fillId="0" borderId="8" xfId="0" applyNumberFormat="1" applyFont="1" applyBorder="1" applyAlignment="1">
      <alignment vertical="center"/>
    </xf>
    <xf numFmtId="0" fontId="7" fillId="0" borderId="61" xfId="0" applyFont="1" applyBorder="1" applyAlignment="1">
      <alignment horizontal="right" vertical="center"/>
    </xf>
    <xf numFmtId="166" fontId="12" fillId="0" borderId="30" xfId="0" applyNumberFormat="1" applyFont="1" applyBorder="1" applyAlignment="1">
      <alignment vertical="center"/>
    </xf>
    <xf numFmtId="165" fontId="1" fillId="0" borderId="129" xfId="0" applyNumberFormat="1" applyFont="1" applyBorder="1" applyAlignment="1">
      <alignment vertical="center"/>
    </xf>
    <xf numFmtId="0" fontId="7" fillId="0" borderId="50" xfId="0" applyFont="1" applyBorder="1" applyAlignment="1">
      <alignment horizontal="right" vertical="center"/>
    </xf>
    <xf numFmtId="0" fontId="15" fillId="0" borderId="21" xfId="0" applyFont="1" applyBorder="1" applyAlignment="1">
      <alignment horizontal="center" vertical="center" wrapText="1"/>
    </xf>
    <xf numFmtId="166" fontId="15" fillId="0" borderId="21" xfId="0" applyNumberFormat="1" applyFont="1" applyBorder="1" applyAlignment="1">
      <alignment horizontal="center" vertical="center" wrapText="1"/>
    </xf>
    <xf numFmtId="187" fontId="18" fillId="3" borderId="48" xfId="0" applyNumberFormat="1" applyFont="1" applyFill="1" applyBorder="1" applyAlignment="1" applyProtection="1">
      <alignment vertical="center"/>
      <protection locked="0"/>
    </xf>
    <xf numFmtId="187" fontId="18" fillId="3" borderId="35" xfId="0" applyNumberFormat="1" applyFont="1" applyFill="1" applyBorder="1" applyAlignment="1" applyProtection="1">
      <alignment vertical="center"/>
      <protection locked="0"/>
    </xf>
    <xf numFmtId="49" fontId="18" fillId="3" borderId="26" xfId="0" applyNumberFormat="1" applyFont="1" applyFill="1" applyBorder="1" applyAlignment="1" applyProtection="1">
      <alignment vertical="center"/>
      <protection locked="0"/>
    </xf>
    <xf numFmtId="49" fontId="18" fillId="3" borderId="16" xfId="0" applyNumberFormat="1" applyFont="1" applyFill="1" applyBorder="1" applyAlignment="1" applyProtection="1">
      <alignment vertical="center"/>
      <protection locked="0"/>
    </xf>
    <xf numFmtId="49" fontId="18" fillId="3" borderId="13" xfId="0" applyNumberFormat="1" applyFont="1" applyFill="1" applyBorder="1" applyAlignment="1" applyProtection="1">
      <alignment vertical="center"/>
      <protection locked="0"/>
    </xf>
    <xf numFmtId="49" fontId="18" fillId="3" borderId="35" xfId="0" applyNumberFormat="1" applyFont="1" applyFill="1" applyBorder="1" applyAlignment="1" applyProtection="1">
      <alignment vertical="center"/>
      <protection locked="0"/>
    </xf>
    <xf numFmtId="3" fontId="18" fillId="3" borderId="26" xfId="0" applyNumberFormat="1" applyFont="1" applyFill="1" applyBorder="1" applyAlignment="1" applyProtection="1">
      <alignment vertical="center"/>
      <protection locked="0"/>
    </xf>
    <xf numFmtId="165" fontId="1" fillId="0" borderId="119" xfId="1" applyFont="1" applyBorder="1" applyAlignment="1">
      <alignment vertical="center"/>
    </xf>
    <xf numFmtId="187" fontId="18" fillId="3" borderId="49" xfId="0" applyNumberFormat="1" applyFont="1" applyFill="1" applyBorder="1" applyAlignment="1" applyProtection="1">
      <alignment vertical="center"/>
      <protection locked="0"/>
    </xf>
    <xf numFmtId="187" fontId="18" fillId="3" borderId="36" xfId="0" applyNumberFormat="1" applyFont="1" applyFill="1" applyBorder="1" applyAlignment="1" applyProtection="1">
      <alignment vertical="center"/>
      <protection locked="0"/>
    </xf>
    <xf numFmtId="49" fontId="18" fillId="3" borderId="27" xfId="0" applyNumberFormat="1" applyFont="1" applyFill="1" applyBorder="1" applyAlignment="1" applyProtection="1">
      <alignment vertical="center"/>
      <protection locked="0"/>
    </xf>
    <xf numFmtId="49" fontId="18" fillId="3" borderId="31" xfId="0" applyNumberFormat="1" applyFont="1" applyFill="1" applyBorder="1" applyAlignment="1" applyProtection="1">
      <alignment vertical="center"/>
      <protection locked="0"/>
    </xf>
    <xf numFmtId="49" fontId="18" fillId="3" borderId="30" xfId="0" applyNumberFormat="1" applyFont="1" applyFill="1" applyBorder="1" applyAlignment="1" applyProtection="1">
      <alignment vertical="center"/>
      <protection locked="0"/>
    </xf>
    <xf numFmtId="49" fontId="18" fillId="3" borderId="36" xfId="0" applyNumberFormat="1" applyFont="1" applyFill="1" applyBorder="1" applyAlignment="1" applyProtection="1">
      <alignment vertical="center"/>
      <protection locked="0"/>
    </xf>
    <xf numFmtId="3" fontId="18" fillId="3" borderId="27" xfId="0" applyNumberFormat="1" applyFont="1" applyFill="1" applyBorder="1" applyAlignment="1" applyProtection="1">
      <alignment vertical="center"/>
      <protection locked="0"/>
    </xf>
    <xf numFmtId="187" fontId="18" fillId="3" borderId="50" xfId="0" applyNumberFormat="1" applyFont="1" applyFill="1" applyBorder="1" applyAlignment="1" applyProtection="1">
      <alignment vertical="center"/>
      <protection locked="0"/>
    </xf>
    <xf numFmtId="187" fontId="18" fillId="3" borderId="37" xfId="0" applyNumberFormat="1" applyFont="1" applyFill="1" applyBorder="1" applyAlignment="1" applyProtection="1">
      <alignment vertical="center"/>
      <protection locked="0"/>
    </xf>
    <xf numFmtId="49" fontId="18" fillId="3" borderId="7" xfId="0" applyNumberFormat="1" applyFont="1" applyFill="1" applyBorder="1" applyAlignment="1" applyProtection="1">
      <alignment vertical="center"/>
      <protection locked="0"/>
    </xf>
    <xf numFmtId="49" fontId="18" fillId="3" borderId="32" xfId="0" applyNumberFormat="1" applyFont="1" applyFill="1" applyBorder="1" applyAlignment="1" applyProtection="1">
      <alignment vertical="center"/>
      <protection locked="0"/>
    </xf>
    <xf numFmtId="49" fontId="18" fillId="3" borderId="10" xfId="0" applyNumberFormat="1" applyFont="1" applyFill="1" applyBorder="1" applyAlignment="1" applyProtection="1">
      <alignment vertical="center"/>
      <protection locked="0"/>
    </xf>
    <xf numFmtId="49" fontId="18" fillId="3" borderId="37" xfId="0" applyNumberFormat="1" applyFont="1" applyFill="1" applyBorder="1" applyAlignment="1" applyProtection="1">
      <alignment vertical="center"/>
      <protection locked="0"/>
    </xf>
    <xf numFmtId="3" fontId="18" fillId="3" borderId="7" xfId="0" applyNumberFormat="1" applyFont="1" applyFill="1" applyBorder="1" applyAlignment="1" applyProtection="1">
      <alignment vertical="center"/>
      <protection locked="0"/>
    </xf>
    <xf numFmtId="165" fontId="7" fillId="0" borderId="71" xfId="1" applyFont="1" applyBorder="1" applyAlignment="1">
      <alignment vertical="center"/>
    </xf>
    <xf numFmtId="165" fontId="48" fillId="3" borderId="115" xfId="1" applyFont="1" applyFill="1" applyBorder="1" applyAlignment="1">
      <alignment vertical="center"/>
    </xf>
    <xf numFmtId="165" fontId="48" fillId="0" borderId="5" xfId="1" applyFont="1" applyFill="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165" fontId="1" fillId="0" borderId="15" xfId="0" applyNumberFormat="1" applyFont="1" applyBorder="1" applyAlignment="1">
      <alignment vertical="center"/>
    </xf>
    <xf numFmtId="0" fontId="15" fillId="0" borderId="21" xfId="0" applyFont="1" applyBorder="1" applyAlignment="1">
      <alignment horizontal="centerContinuous" vertical="center"/>
    </xf>
    <xf numFmtId="0" fontId="0" fillId="11" borderId="21" xfId="0" applyFill="1" applyBorder="1"/>
    <xf numFmtId="2" fontId="18" fillId="3" borderId="26" xfId="0" applyNumberFormat="1" applyFont="1" applyFill="1" applyBorder="1" applyAlignment="1" applyProtection="1">
      <alignment vertical="center"/>
      <protection locked="0"/>
    </xf>
    <xf numFmtId="165" fontId="18" fillId="3" borderId="70" xfId="1" applyFont="1" applyFill="1" applyBorder="1" applyAlignment="1" applyProtection="1">
      <alignment vertical="center"/>
      <protection locked="0"/>
    </xf>
    <xf numFmtId="2" fontId="18" fillId="3" borderId="122" xfId="0" applyNumberFormat="1" applyFont="1" applyFill="1" applyBorder="1" applyAlignment="1" applyProtection="1">
      <alignment vertical="center"/>
      <protection locked="0"/>
    </xf>
    <xf numFmtId="165" fontId="18" fillId="3" borderId="125" xfId="1" applyFont="1" applyFill="1" applyBorder="1" applyAlignment="1" applyProtection="1">
      <alignment vertical="center"/>
      <protection locked="0"/>
    </xf>
    <xf numFmtId="2" fontId="18" fillId="3" borderId="27" xfId="0" applyNumberFormat="1" applyFont="1" applyFill="1" applyBorder="1" applyAlignment="1" applyProtection="1">
      <alignment vertical="center"/>
      <protection locked="0"/>
    </xf>
    <xf numFmtId="2" fontId="18" fillId="3" borderId="7" xfId="0" applyNumberFormat="1" applyFont="1" applyFill="1" applyBorder="1" applyAlignment="1" applyProtection="1">
      <alignment vertical="center"/>
      <protection locked="0"/>
    </xf>
    <xf numFmtId="165" fontId="18" fillId="3" borderId="84" xfId="1" applyFont="1" applyFill="1" applyBorder="1" applyAlignment="1" applyProtection="1">
      <alignment vertical="center"/>
      <protection locked="0"/>
    </xf>
    <xf numFmtId="165" fontId="1" fillId="0" borderId="34" xfId="0" applyNumberFormat="1" applyFont="1" applyBorder="1" applyAlignment="1">
      <alignment vertical="center"/>
    </xf>
    <xf numFmtId="0" fontId="0" fillId="0" borderId="24" xfId="0" applyBorder="1"/>
    <xf numFmtId="0" fontId="7" fillId="0" borderId="21" xfId="0" applyFont="1" applyBorder="1" applyAlignment="1">
      <alignment horizontal="center" vertical="center" wrapText="1"/>
    </xf>
    <xf numFmtId="0" fontId="15" fillId="3" borderId="30" xfId="0" applyFont="1" applyFill="1" applyBorder="1" applyAlignment="1">
      <alignment horizontal="left" vertical="center"/>
    </xf>
    <xf numFmtId="14" fontId="18" fillId="3" borderId="179" xfId="0" applyNumberFormat="1" applyFont="1" applyFill="1" applyBorder="1" applyAlignment="1" applyProtection="1">
      <alignment vertical="center"/>
      <protection locked="0"/>
    </xf>
    <xf numFmtId="0" fontId="18" fillId="3" borderId="179" xfId="0" applyFont="1" applyFill="1" applyBorder="1" applyAlignment="1" applyProtection="1">
      <alignment vertical="center"/>
      <protection locked="0"/>
    </xf>
    <xf numFmtId="0" fontId="18" fillId="3" borderId="180" xfId="0" applyFont="1" applyFill="1" applyBorder="1" applyAlignment="1" applyProtection="1">
      <alignment vertical="center"/>
      <protection locked="0"/>
    </xf>
    <xf numFmtId="165" fontId="7" fillId="0" borderId="0" xfId="1" applyFont="1" applyBorder="1" applyAlignment="1">
      <alignment horizontal="right" vertical="center"/>
    </xf>
    <xf numFmtId="165" fontId="6" fillId="0" borderId="112" xfId="1" applyFont="1" applyBorder="1" applyAlignment="1" applyProtection="1">
      <alignment vertical="center"/>
    </xf>
    <xf numFmtId="165" fontId="48" fillId="0" borderId="139" xfId="1" applyFont="1" applyFill="1" applyBorder="1" applyAlignment="1">
      <alignment vertical="center"/>
    </xf>
    <xf numFmtId="0" fontId="0" fillId="0" borderId="11" xfId="0" applyBorder="1"/>
    <xf numFmtId="0" fontId="7" fillId="0" borderId="5" xfId="0" applyFont="1" applyFill="1" applyBorder="1" applyAlignment="1">
      <alignment horizontal="right" vertical="center"/>
    </xf>
    <xf numFmtId="0" fontId="1" fillId="0" borderId="0" xfId="0" applyFont="1" applyBorder="1"/>
    <xf numFmtId="0" fontId="0" fillId="0" borderId="0" xfId="0" applyAlignment="1">
      <alignment wrapText="1"/>
    </xf>
    <xf numFmtId="14" fontId="19" fillId="3" borderId="13" xfId="0" applyNumberFormat="1" applyFont="1" applyFill="1" applyBorder="1" applyAlignment="1" applyProtection="1">
      <alignment vertical="center"/>
      <protection locked="0"/>
    </xf>
    <xf numFmtId="14" fontId="19" fillId="3" borderId="30" xfId="0" applyNumberFormat="1" applyFont="1" applyFill="1" applyBorder="1" applyAlignment="1" applyProtection="1">
      <alignment vertical="center"/>
      <protection locked="0"/>
    </xf>
    <xf numFmtId="0" fontId="19" fillId="3" borderId="30" xfId="0" applyFont="1" applyFill="1" applyBorder="1" applyAlignment="1" applyProtection="1">
      <alignment vertical="center"/>
      <protection locked="0"/>
    </xf>
    <xf numFmtId="0" fontId="34" fillId="0" borderId="28" xfId="0" applyFont="1" applyFill="1" applyBorder="1" applyAlignment="1">
      <alignment vertical="center"/>
    </xf>
    <xf numFmtId="14" fontId="18" fillId="3" borderId="13" xfId="0" applyNumberFormat="1" applyFont="1" applyFill="1" applyBorder="1" applyAlignment="1" applyProtection="1">
      <alignment vertical="center"/>
      <protection locked="0"/>
    </xf>
    <xf numFmtId="14" fontId="18" fillId="3" borderId="30" xfId="0" applyNumberFormat="1" applyFont="1" applyFill="1" applyBorder="1" applyAlignment="1" applyProtection="1">
      <alignment vertical="center"/>
      <protection locked="0"/>
    </xf>
    <xf numFmtId="0" fontId="18" fillId="3" borderId="5" xfId="0" applyFont="1" applyFill="1" applyBorder="1" applyAlignment="1" applyProtection="1">
      <alignment vertical="center"/>
      <protection locked="0"/>
    </xf>
    <xf numFmtId="0" fontId="19" fillId="3" borderId="104" xfId="0" applyFont="1" applyFill="1" applyBorder="1" applyAlignment="1" applyProtection="1">
      <alignment vertical="center"/>
      <protection locked="0"/>
    </xf>
    <xf numFmtId="0" fontId="19" fillId="3" borderId="5" xfId="0" applyFont="1" applyFill="1" applyBorder="1" applyAlignment="1" applyProtection="1">
      <alignment vertical="center"/>
      <protection locked="0"/>
    </xf>
    <xf numFmtId="0" fontId="15" fillId="0" borderId="28" xfId="0" applyFont="1" applyBorder="1" applyAlignment="1">
      <alignment vertical="center"/>
    </xf>
    <xf numFmtId="0" fontId="0" fillId="0" borderId="4" xfId="0" applyBorder="1"/>
    <xf numFmtId="0" fontId="7" fillId="0" borderId="51" xfId="0" applyFont="1" applyBorder="1" applyAlignment="1">
      <alignment horizontal="center" vertical="center" wrapText="1"/>
    </xf>
    <xf numFmtId="0" fontId="15" fillId="0" borderId="28" xfId="0" applyFont="1" applyBorder="1" applyAlignment="1">
      <alignment horizontal="center" vertical="center"/>
    </xf>
    <xf numFmtId="0" fontId="12" fillId="0" borderId="28" xfId="0" applyFont="1" applyBorder="1" applyAlignment="1">
      <alignment horizontal="centerContinuous" vertical="center"/>
    </xf>
    <xf numFmtId="0" fontId="12" fillId="0" borderId="29" xfId="0" applyFont="1" applyBorder="1" applyAlignment="1">
      <alignment horizontal="centerContinuous" vertical="center"/>
    </xf>
    <xf numFmtId="0" fontId="12" fillId="0" borderId="21" xfId="0" applyFont="1" applyBorder="1" applyAlignment="1">
      <alignment vertical="center"/>
    </xf>
    <xf numFmtId="165" fontId="7" fillId="0" borderId="128" xfId="1" applyFont="1" applyBorder="1" applyAlignment="1">
      <alignment vertical="center"/>
    </xf>
    <xf numFmtId="165" fontId="48" fillId="4" borderId="45" xfId="1" applyFont="1" applyFill="1" applyBorder="1" applyAlignment="1">
      <alignment vertical="center"/>
    </xf>
    <xf numFmtId="0" fontId="15" fillId="0" borderId="13" xfId="0" applyFont="1" applyBorder="1" applyAlignment="1">
      <alignment vertical="center"/>
    </xf>
    <xf numFmtId="166" fontId="12" fillId="0" borderId="13" xfId="0" applyNumberFormat="1" applyFont="1" applyBorder="1" applyAlignment="1">
      <alignment vertical="center"/>
    </xf>
    <xf numFmtId="165" fontId="12" fillId="0" borderId="44" xfId="0" applyNumberFormat="1" applyFont="1" applyBorder="1" applyAlignment="1">
      <alignment vertical="center"/>
    </xf>
    <xf numFmtId="173" fontId="1" fillId="0" borderId="45" xfId="0" applyNumberFormat="1" applyFont="1" applyBorder="1" applyAlignment="1">
      <alignment vertical="center" wrapText="1"/>
    </xf>
    <xf numFmtId="165" fontId="12" fillId="0" borderId="47" xfId="0" applyNumberFormat="1" applyFont="1" applyBorder="1" applyAlignment="1">
      <alignment vertical="center"/>
    </xf>
    <xf numFmtId="0" fontId="15" fillId="0" borderId="28" xfId="0" applyFont="1" applyBorder="1" applyAlignment="1">
      <alignment horizontal="left" vertical="center"/>
    </xf>
    <xf numFmtId="14" fontId="18" fillId="3" borderId="35" xfId="0" applyNumberFormat="1" applyFont="1" applyFill="1" applyBorder="1" applyAlignment="1" applyProtection="1">
      <alignment vertical="center"/>
      <protection locked="0"/>
    </xf>
    <xf numFmtId="173" fontId="18" fillId="3" borderId="27" xfId="0" applyNumberFormat="1" applyFont="1" applyFill="1" applyBorder="1" applyAlignment="1" applyProtection="1">
      <alignment vertical="center"/>
      <protection locked="0"/>
    </xf>
    <xf numFmtId="165" fontId="14" fillId="0" borderId="34" xfId="0" applyNumberFormat="1" applyFont="1" applyBorder="1" applyAlignment="1">
      <alignment vertical="center"/>
    </xf>
    <xf numFmtId="165" fontId="15" fillId="0" borderId="151" xfId="1" applyFont="1" applyBorder="1" applyAlignment="1">
      <alignment vertical="center"/>
    </xf>
    <xf numFmtId="165" fontId="15" fillId="0" borderId="87" xfId="1" applyFont="1" applyBorder="1" applyAlignment="1">
      <alignment vertical="center"/>
    </xf>
    <xf numFmtId="0" fontId="0" fillId="0" borderId="25" xfId="0" applyBorder="1"/>
    <xf numFmtId="0" fontId="15" fillId="0" borderId="13" xfId="0" applyFont="1" applyBorder="1" applyAlignment="1">
      <alignment horizontal="left" vertical="center"/>
    </xf>
    <xf numFmtId="14" fontId="18" fillId="3" borderId="48" xfId="0" applyNumberFormat="1" applyFont="1" applyFill="1" applyBorder="1" applyProtection="1">
      <protection locked="0"/>
    </xf>
    <xf numFmtId="14" fontId="18" fillId="3" borderId="35" xfId="0" applyNumberFormat="1" applyFont="1" applyFill="1" applyBorder="1" applyProtection="1">
      <protection locked="0"/>
    </xf>
    <xf numFmtId="0" fontId="18" fillId="3" borderId="26" xfId="0" applyFont="1" applyFill="1" applyBorder="1" applyProtection="1">
      <protection locked="0"/>
    </xf>
    <xf numFmtId="0" fontId="18" fillId="3" borderId="16" xfId="0" applyFont="1" applyFill="1" applyBorder="1" applyProtection="1">
      <protection locked="0"/>
    </xf>
    <xf numFmtId="0" fontId="18" fillId="3" borderId="35" xfId="0" applyFont="1" applyFill="1" applyBorder="1" applyProtection="1">
      <protection locked="0"/>
    </xf>
    <xf numFmtId="173" fontId="18" fillId="3" borderId="26" xfId="0" applyNumberFormat="1" applyFont="1" applyFill="1" applyBorder="1" applyProtection="1">
      <protection locked="0"/>
    </xf>
    <xf numFmtId="0" fontId="18" fillId="3" borderId="61" xfId="0" applyFont="1" applyFill="1" applyBorder="1" applyAlignment="1" applyProtection="1">
      <alignment vertical="center"/>
      <protection locked="0"/>
    </xf>
    <xf numFmtId="173" fontId="18" fillId="3" borderId="38" xfId="0" applyNumberFormat="1" applyFont="1" applyFill="1" applyBorder="1" applyAlignment="1" applyProtection="1">
      <alignment vertical="center"/>
      <protection locked="0"/>
    </xf>
    <xf numFmtId="165" fontId="48" fillId="4" borderId="113" xfId="1" applyFont="1" applyFill="1" applyBorder="1" applyAlignment="1">
      <alignment vertical="center"/>
    </xf>
    <xf numFmtId="165" fontId="1" fillId="0" borderId="70" xfId="1" applyFont="1" applyFill="1" applyBorder="1" applyAlignment="1">
      <alignment vertical="center"/>
    </xf>
    <xf numFmtId="165" fontId="1" fillId="0" borderId="125" xfId="1" applyFont="1" applyFill="1" applyBorder="1" applyAlignment="1">
      <alignment vertical="center"/>
    </xf>
    <xf numFmtId="0" fontId="18" fillId="3" borderId="0" xfId="0" applyFont="1" applyFill="1" applyBorder="1" applyAlignment="1" applyProtection="1">
      <alignment vertical="center"/>
      <protection locked="0"/>
    </xf>
    <xf numFmtId="9" fontId="18" fillId="3" borderId="38" xfId="15" applyFont="1" applyFill="1" applyBorder="1" applyAlignment="1" applyProtection="1">
      <alignment vertical="center"/>
      <protection locked="0"/>
    </xf>
    <xf numFmtId="165" fontId="1" fillId="0" borderId="84" xfId="1" applyFont="1" applyFill="1" applyBorder="1" applyAlignment="1">
      <alignment vertical="center"/>
    </xf>
    <xf numFmtId="165" fontId="48" fillId="11" borderId="113" xfId="1" applyFont="1" applyFill="1" applyBorder="1" applyAlignment="1">
      <alignment vertical="center"/>
    </xf>
    <xf numFmtId="14" fontId="18" fillId="3" borderId="61" xfId="0" applyNumberFormat="1" applyFont="1" applyFill="1" applyBorder="1" applyProtection="1">
      <protection locked="0"/>
    </xf>
    <xf numFmtId="14" fontId="18" fillId="3" borderId="0" xfId="0" applyNumberFormat="1" applyFont="1" applyFill="1" applyBorder="1" applyProtection="1">
      <protection locked="0"/>
    </xf>
    <xf numFmtId="0" fontId="18" fillId="3" borderId="18" xfId="0" applyFont="1" applyFill="1" applyBorder="1" applyProtection="1">
      <protection locked="0"/>
    </xf>
    <xf numFmtId="0" fontId="18" fillId="3" borderId="22" xfId="0" applyFont="1" applyFill="1" applyBorder="1" applyProtection="1">
      <protection locked="0"/>
    </xf>
    <xf numFmtId="185" fontId="18" fillId="3" borderId="38" xfId="0" applyNumberFormat="1" applyFont="1" applyFill="1" applyBorder="1" applyProtection="1">
      <protection locked="0"/>
    </xf>
    <xf numFmtId="0" fontId="18" fillId="3" borderId="38" xfId="0" applyFont="1" applyFill="1" applyBorder="1" applyProtection="1">
      <protection locked="0"/>
    </xf>
    <xf numFmtId="165" fontId="5" fillId="0" borderId="123" xfId="1" applyFont="1" applyBorder="1" applyAlignment="1" applyProtection="1">
      <alignment vertical="center"/>
    </xf>
    <xf numFmtId="185" fontId="18" fillId="3" borderId="27" xfId="0" applyNumberFormat="1" applyFont="1" applyFill="1" applyBorder="1" applyAlignment="1" applyProtection="1">
      <alignment vertical="center"/>
      <protection locked="0"/>
    </xf>
    <xf numFmtId="165" fontId="5" fillId="0" borderId="125" xfId="1" applyFont="1" applyBorder="1" applyAlignment="1" applyProtection="1">
      <alignment vertical="center"/>
    </xf>
    <xf numFmtId="0" fontId="18" fillId="3" borderId="181" xfId="0" applyFont="1" applyFill="1" applyBorder="1" applyAlignment="1" applyProtection="1">
      <alignment vertical="center"/>
      <protection locked="0"/>
    </xf>
    <xf numFmtId="0" fontId="18" fillId="3" borderId="182" xfId="0" applyFont="1" applyFill="1" applyBorder="1" applyAlignment="1" applyProtection="1">
      <alignment vertical="center"/>
      <protection locked="0"/>
    </xf>
    <xf numFmtId="0" fontId="18" fillId="3" borderId="183" xfId="0" applyFont="1" applyFill="1" applyBorder="1" applyAlignment="1" applyProtection="1">
      <alignment vertical="center"/>
      <protection locked="0"/>
    </xf>
    <xf numFmtId="0" fontId="18" fillId="3" borderId="184" xfId="0" applyFont="1" applyFill="1" applyBorder="1" applyAlignment="1" applyProtection="1">
      <alignment vertical="center"/>
      <protection locked="0"/>
    </xf>
    <xf numFmtId="185" fontId="18" fillId="3" borderId="185" xfId="0" applyNumberFormat="1" applyFont="1" applyFill="1" applyBorder="1" applyAlignment="1" applyProtection="1">
      <alignment vertical="center"/>
      <protection locked="0"/>
    </xf>
    <xf numFmtId="0" fontId="18" fillId="3" borderId="185" xfId="0" applyFont="1" applyFill="1" applyBorder="1" applyAlignment="1" applyProtection="1">
      <alignment vertical="center"/>
      <protection locked="0"/>
    </xf>
    <xf numFmtId="165" fontId="5" fillId="0" borderId="130" xfId="1" applyFont="1" applyBorder="1" applyAlignment="1" applyProtection="1">
      <alignment vertical="center"/>
    </xf>
    <xf numFmtId="165" fontId="7" fillId="0" borderId="114" xfId="1" applyFont="1" applyBorder="1" applyAlignment="1" applyProtection="1">
      <alignment vertical="center"/>
    </xf>
    <xf numFmtId="165" fontId="21" fillId="11" borderId="113" xfId="1" applyFont="1" applyFill="1" applyBorder="1" applyAlignment="1">
      <alignment vertical="center"/>
    </xf>
    <xf numFmtId="165" fontId="1" fillId="0" borderId="112" xfId="1" applyFont="1" applyFill="1" applyBorder="1" applyAlignment="1">
      <alignment vertical="center"/>
    </xf>
    <xf numFmtId="165" fontId="21" fillId="0" borderId="87" xfId="1" applyFont="1" applyFill="1" applyBorder="1" applyAlignment="1">
      <alignment vertical="center"/>
    </xf>
    <xf numFmtId="165" fontId="48" fillId="0" borderId="8" xfId="1" applyFont="1" applyFill="1" applyBorder="1" applyAlignment="1">
      <alignment vertical="center"/>
    </xf>
    <xf numFmtId="0" fontId="7" fillId="0" borderId="13" xfId="0" applyFont="1" applyBorder="1" applyAlignment="1">
      <alignment horizontal="left" vertical="center"/>
    </xf>
    <xf numFmtId="0" fontId="0" fillId="0" borderId="29" xfId="0" applyBorder="1" applyAlignment="1">
      <alignment horizontal="center" vertical="center"/>
    </xf>
    <xf numFmtId="165" fontId="5" fillId="0" borderId="70" xfId="1" applyFont="1" applyBorder="1" applyAlignment="1" applyProtection="1">
      <alignment vertical="center"/>
    </xf>
    <xf numFmtId="0" fontId="5" fillId="3" borderId="22" xfId="0" applyFont="1" applyFill="1" applyBorder="1" applyAlignment="1" applyProtection="1">
      <alignment vertical="center"/>
    </xf>
    <xf numFmtId="0" fontId="18" fillId="0" borderId="13" xfId="0" applyFont="1" applyBorder="1" applyAlignment="1" applyProtection="1">
      <alignment vertical="center"/>
      <protection locked="0"/>
    </xf>
    <xf numFmtId="0" fontId="7" fillId="0" borderId="136" xfId="0" applyFont="1" applyBorder="1" applyAlignment="1">
      <alignment horizontal="right" vertical="center"/>
    </xf>
    <xf numFmtId="165" fontId="21" fillId="4" borderId="71" xfId="1" applyFont="1" applyFill="1" applyBorder="1" applyAlignment="1">
      <alignment vertical="center"/>
    </xf>
    <xf numFmtId="0" fontId="7" fillId="0" borderId="186" xfId="0" applyFont="1" applyBorder="1" applyAlignment="1">
      <alignment horizontal="right" vertical="center"/>
    </xf>
    <xf numFmtId="0" fontId="7" fillId="0" borderId="187" xfId="0" applyFont="1" applyBorder="1" applyAlignment="1">
      <alignment horizontal="right" vertical="center"/>
    </xf>
    <xf numFmtId="49" fontId="15" fillId="3" borderId="21" xfId="0" applyNumberFormat="1" applyFont="1" applyFill="1" applyBorder="1" applyAlignment="1" applyProtection="1">
      <alignment vertical="center" wrapText="1"/>
      <protection locked="0"/>
    </xf>
    <xf numFmtId="49" fontId="12" fillId="0" borderId="21" xfId="0" applyNumberFormat="1" applyFont="1" applyBorder="1" applyAlignment="1" applyProtection="1">
      <alignment vertical="center" wrapText="1"/>
      <protection locked="0"/>
    </xf>
    <xf numFmtId="49" fontId="15" fillId="3" borderId="21" xfId="0" applyNumberFormat="1" applyFont="1" applyFill="1" applyBorder="1" applyAlignment="1" applyProtection="1">
      <alignment vertical="center"/>
      <protection locked="0"/>
    </xf>
    <xf numFmtId="49" fontId="12" fillId="0" borderId="21" xfId="0" applyNumberFormat="1" applyFont="1" applyBorder="1" applyAlignment="1" applyProtection="1">
      <alignment vertical="center"/>
      <protection locked="0"/>
    </xf>
    <xf numFmtId="0" fontId="14" fillId="0" borderId="79" xfId="0" applyFont="1" applyFill="1" applyBorder="1" applyAlignment="1" applyProtection="1">
      <alignment horizontal="right" vertical="center"/>
    </xf>
    <xf numFmtId="49" fontId="15" fillId="3" borderId="32" xfId="0" applyNumberFormat="1" applyFont="1" applyFill="1" applyBorder="1" applyAlignment="1" applyProtection="1">
      <alignment vertical="center"/>
      <protection locked="0"/>
    </xf>
    <xf numFmtId="49" fontId="15" fillId="3" borderId="10" xfId="0" applyNumberFormat="1" applyFont="1" applyFill="1" applyBorder="1" applyAlignment="1" applyProtection="1">
      <alignment vertical="center"/>
      <protection locked="0"/>
    </xf>
    <xf numFmtId="49" fontId="15" fillId="3" borderId="93" xfId="0" applyNumberFormat="1" applyFont="1" applyFill="1" applyBorder="1" applyAlignment="1" applyProtection="1">
      <alignment vertical="center"/>
      <protection locked="0"/>
    </xf>
    <xf numFmtId="49" fontId="15" fillId="3" borderId="124" xfId="0" applyNumberFormat="1" applyFont="1" applyFill="1" applyBorder="1" applyAlignment="1" applyProtection="1">
      <alignment vertical="center"/>
      <protection locked="0"/>
    </xf>
    <xf numFmtId="49" fontId="15" fillId="3" borderId="94" xfId="0" applyNumberFormat="1" applyFont="1" applyFill="1" applyBorder="1" applyAlignment="1" applyProtection="1">
      <alignment vertical="center"/>
      <protection locked="0"/>
    </xf>
    <xf numFmtId="0" fontId="70" fillId="0" borderId="21" xfId="0" applyFont="1" applyFill="1" applyBorder="1" applyAlignment="1" applyProtection="1">
      <alignment horizontal="center" vertical="center" wrapText="1"/>
    </xf>
    <xf numFmtId="166" fontId="5" fillId="0" borderId="94" xfId="0" applyNumberFormat="1" applyFont="1" applyFill="1" applyBorder="1" applyAlignment="1" applyProtection="1">
      <alignment horizontal="right" vertical="center"/>
    </xf>
    <xf numFmtId="166" fontId="5" fillId="0" borderId="21" xfId="0" applyNumberFormat="1" applyFont="1" applyFill="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7" fillId="0" borderId="11" xfId="0" applyFont="1" applyBorder="1" applyAlignment="1">
      <alignment horizontal="right" vertical="center"/>
    </xf>
    <xf numFmtId="0" fontId="7" fillId="0" borderId="5"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18" fillId="3" borderId="104"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166" fontId="5" fillId="0" borderId="21" xfId="0" applyNumberFormat="1" applyFont="1" applyFill="1" applyBorder="1" applyAlignment="1" applyProtection="1">
      <alignment horizontal="right" vertical="center"/>
    </xf>
    <xf numFmtId="166" fontId="18" fillId="3" borderId="108" xfId="0" applyNumberFormat="1" applyFont="1" applyFill="1" applyBorder="1" applyAlignment="1" applyProtection="1">
      <alignment vertical="center"/>
      <protection locked="0"/>
    </xf>
    <xf numFmtId="166" fontId="5" fillId="0" borderId="94" xfId="0" applyNumberFormat="1" applyFont="1" applyFill="1" applyBorder="1" applyAlignment="1" applyProtection="1">
      <alignment horizontal="right" vertical="center"/>
    </xf>
    <xf numFmtId="166" fontId="5" fillId="0" borderId="29" xfId="0" applyNumberFormat="1" applyFont="1" applyFill="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70" fillId="0" borderId="21" xfId="0" applyFont="1" applyFill="1" applyBorder="1" applyAlignment="1" applyProtection="1">
      <alignment horizontal="center" vertical="center" wrapText="1"/>
    </xf>
    <xf numFmtId="0" fontId="12" fillId="0" borderId="17" xfId="0" applyFont="1" applyBorder="1"/>
    <xf numFmtId="0" fontId="1" fillId="0" borderId="15" xfId="0" applyFont="1" applyBorder="1"/>
    <xf numFmtId="0" fontId="1" fillId="0" borderId="43" xfId="0" applyFont="1" applyBorder="1"/>
    <xf numFmtId="0" fontId="12" fillId="0" borderId="4" xfId="0" applyFont="1" applyBorder="1"/>
    <xf numFmtId="0" fontId="13" fillId="0" borderId="0" xfId="0" applyFont="1" applyBorder="1"/>
    <xf numFmtId="0" fontId="1" fillId="0" borderId="8" xfId="0" applyFont="1" applyFill="1" applyBorder="1"/>
    <xf numFmtId="0" fontId="1" fillId="0" borderId="8" xfId="0" applyFont="1" applyBorder="1"/>
    <xf numFmtId="0" fontId="7" fillId="0" borderId="0" xfId="0" applyFont="1" applyBorder="1" applyAlignment="1">
      <alignment horizontal="right"/>
    </xf>
    <xf numFmtId="0" fontId="1" fillId="0" borderId="0" xfId="0" applyFont="1" applyBorder="1" applyAlignment="1">
      <alignment horizontal="right"/>
    </xf>
    <xf numFmtId="182" fontId="1" fillId="0" borderId="188" xfId="0" quotePrefix="1" applyNumberFormat="1" applyFont="1" applyBorder="1" applyAlignment="1">
      <alignment horizontal="center"/>
    </xf>
    <xf numFmtId="0" fontId="1" fillId="0" borderId="0" xfId="0" applyFont="1"/>
    <xf numFmtId="0" fontId="1" fillId="0" borderId="189" xfId="0" applyFont="1" applyBorder="1"/>
    <xf numFmtId="0" fontId="7" fillId="0" borderId="0" xfId="0" applyFont="1" applyBorder="1"/>
    <xf numFmtId="49" fontId="1" fillId="0" borderId="0" xfId="0" applyNumberFormat="1" applyFont="1" applyBorder="1"/>
    <xf numFmtId="49" fontId="1" fillId="0" borderId="0"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1" fillId="0" borderId="91" xfId="0" applyNumberFormat="1" applyFont="1" applyBorder="1" applyAlignment="1">
      <alignment horizontal="left" vertical="top" wrapText="1"/>
    </xf>
    <xf numFmtId="49" fontId="1" fillId="0" borderId="188" xfId="0" applyNumberFormat="1" applyFont="1" applyBorder="1" applyAlignment="1">
      <alignment horizontal="left" vertical="top" wrapText="1"/>
    </xf>
    <xf numFmtId="0" fontId="1" fillId="0" borderId="91" xfId="0" applyFont="1" applyBorder="1" applyAlignment="1">
      <alignment vertical="center"/>
    </xf>
    <xf numFmtId="0" fontId="1" fillId="0" borderId="76" xfId="0" applyFont="1" applyBorder="1"/>
    <xf numFmtId="0" fontId="1" fillId="0" borderId="190" xfId="0" applyFont="1" applyBorder="1"/>
    <xf numFmtId="0" fontId="7" fillId="0" borderId="76" xfId="0" applyFont="1" applyBorder="1"/>
    <xf numFmtId="0" fontId="1" fillId="0" borderId="100" xfId="0" applyFont="1" applyBorder="1"/>
    <xf numFmtId="0" fontId="7" fillId="0" borderId="91" xfId="0" applyFont="1" applyFill="1" applyBorder="1"/>
    <xf numFmtId="0" fontId="1" fillId="0" borderId="91" xfId="0" applyFont="1" applyFill="1" applyBorder="1"/>
    <xf numFmtId="0" fontId="1" fillId="0" borderId="91" xfId="0" applyFont="1" applyBorder="1"/>
    <xf numFmtId="0" fontId="1" fillId="0" borderId="188" xfId="0" applyFont="1" applyBorder="1"/>
    <xf numFmtId="49" fontId="1" fillId="0" borderId="0" xfId="0" applyNumberFormat="1" applyFont="1"/>
    <xf numFmtId="0" fontId="1" fillId="0" borderId="100" xfId="0" applyFont="1" applyBorder="1" applyAlignment="1"/>
    <xf numFmtId="0" fontId="1" fillId="0" borderId="189" xfId="0" applyFont="1" applyBorder="1" applyAlignment="1"/>
    <xf numFmtId="0" fontId="1" fillId="0" borderId="0" xfId="0" applyFont="1" applyAlignment="1"/>
    <xf numFmtId="0" fontId="7" fillId="0" borderId="0" xfId="0" applyFont="1" applyBorder="1" applyAlignment="1">
      <alignment horizontal="center"/>
    </xf>
    <xf numFmtId="0" fontId="1" fillId="0" borderId="93" xfId="0" applyFont="1" applyBorder="1"/>
    <xf numFmtId="0" fontId="13" fillId="0" borderId="4" xfId="0" quotePrefix="1" applyFont="1" applyBorder="1" applyAlignment="1">
      <alignment horizontal="center"/>
    </xf>
    <xf numFmtId="0" fontId="7" fillId="0" borderId="74" xfId="0" applyFont="1" applyBorder="1" applyAlignment="1">
      <alignment horizontal="center"/>
    </xf>
    <xf numFmtId="0" fontId="1" fillId="0" borderId="0" xfId="0" applyFont="1" applyFill="1" applyBorder="1"/>
    <xf numFmtId="0" fontId="1" fillId="0" borderId="70" xfId="0" applyFont="1" applyBorder="1"/>
    <xf numFmtId="173" fontId="1" fillId="0" borderId="191" xfId="0" applyNumberFormat="1" applyFont="1" applyBorder="1"/>
    <xf numFmtId="0" fontId="1" fillId="0" borderId="10" xfId="0" applyFont="1" applyBorder="1"/>
    <xf numFmtId="0" fontId="1" fillId="0" borderId="74" xfId="0" applyFont="1" applyBorder="1"/>
    <xf numFmtId="0" fontId="7" fillId="0" borderId="61" xfId="0" applyFont="1" applyBorder="1" applyAlignment="1">
      <alignment horizontal="center"/>
    </xf>
    <xf numFmtId="0" fontId="1" fillId="0" borderId="61" xfId="0" applyFont="1" applyBorder="1"/>
    <xf numFmtId="165" fontId="1" fillId="0" borderId="170" xfId="0" applyNumberFormat="1" applyFont="1" applyBorder="1"/>
    <xf numFmtId="173" fontId="1" fillId="0" borderId="74" xfId="0" applyNumberFormat="1" applyFont="1" applyBorder="1"/>
    <xf numFmtId="173" fontId="1" fillId="0" borderId="192" xfId="0" applyNumberFormat="1" applyFont="1" applyBorder="1"/>
    <xf numFmtId="173" fontId="1" fillId="0" borderId="171" xfId="0" applyNumberFormat="1" applyFont="1" applyBorder="1"/>
    <xf numFmtId="173" fontId="1" fillId="0" borderId="38" xfId="0" applyNumberFormat="1" applyFont="1" applyBorder="1"/>
    <xf numFmtId="173" fontId="1" fillId="0" borderId="193" xfId="0" applyNumberFormat="1" applyFont="1" applyBorder="1"/>
    <xf numFmtId="0" fontId="7" fillId="0" borderId="4" xfId="0" applyFont="1" applyBorder="1" applyAlignment="1">
      <alignment horizontal="right"/>
    </xf>
    <xf numFmtId="173" fontId="7" fillId="0" borderId="194" xfId="0" applyNumberFormat="1" applyFont="1" applyBorder="1"/>
    <xf numFmtId="173" fontId="7" fillId="0" borderId="135" xfId="0" applyNumberFormat="1" applyFont="1" applyBorder="1"/>
    <xf numFmtId="0" fontId="1" fillId="0" borderId="187" xfId="0" applyFont="1" applyBorder="1"/>
    <xf numFmtId="0" fontId="7" fillId="0" borderId="16" xfId="0" applyFont="1" applyBorder="1" applyAlignment="1">
      <alignment vertical="center" wrapText="1"/>
    </xf>
    <xf numFmtId="0" fontId="7" fillId="0" borderId="18"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2" xfId="0" applyFont="1" applyFill="1" applyBorder="1" applyAlignment="1">
      <alignment horizontal="left"/>
    </xf>
    <xf numFmtId="0" fontId="1" fillId="0" borderId="18" xfId="0" applyFont="1" applyBorder="1"/>
    <xf numFmtId="0" fontId="7" fillId="0" borderId="0" xfId="0" applyFont="1" applyFill="1" applyBorder="1"/>
    <xf numFmtId="173" fontId="7" fillId="0" borderId="194" xfId="0" applyNumberFormat="1" applyFont="1" applyBorder="1" applyAlignment="1">
      <alignment vertical="center"/>
    </xf>
    <xf numFmtId="0" fontId="12" fillId="0" borderId="61" xfId="0" applyFont="1" applyBorder="1"/>
    <xf numFmtId="0" fontId="1" fillId="0" borderId="22" xfId="0" applyFont="1" applyBorder="1"/>
    <xf numFmtId="173" fontId="1" fillId="0" borderId="170" xfId="0" applyNumberFormat="1" applyFont="1" applyBorder="1"/>
    <xf numFmtId="0" fontId="1" fillId="0" borderId="22" xfId="0" applyFont="1" applyFill="1" applyBorder="1"/>
    <xf numFmtId="173" fontId="1" fillId="0" borderId="194" xfId="0" applyNumberFormat="1" applyFont="1" applyBorder="1"/>
    <xf numFmtId="173" fontId="1" fillId="0" borderId="0" xfId="0" applyNumberFormat="1" applyFont="1" applyBorder="1"/>
    <xf numFmtId="9" fontId="7" fillId="0" borderId="0" xfId="0" applyNumberFormat="1" applyFont="1" applyBorder="1" applyAlignment="1">
      <alignment horizontal="right"/>
    </xf>
    <xf numFmtId="0" fontId="12" fillId="0" borderId="0" xfId="0" applyFont="1" applyBorder="1" applyAlignment="1"/>
    <xf numFmtId="173" fontId="1" fillId="0" borderId="138" xfId="0" applyNumberFormat="1" applyFont="1" applyBorder="1" applyAlignment="1"/>
    <xf numFmtId="173" fontId="1" fillId="0" borderId="21" xfId="0" applyNumberFormat="1" applyFont="1" applyBorder="1"/>
    <xf numFmtId="173" fontId="1" fillId="0" borderId="195" xfId="0" applyNumberFormat="1" applyFont="1" applyBorder="1"/>
    <xf numFmtId="0" fontId="1" fillId="0" borderId="0" xfId="0" applyFont="1" applyFill="1" applyBorder="1" applyAlignment="1"/>
    <xf numFmtId="173" fontId="1" fillId="0" borderId="194" xfId="0" applyNumberFormat="1" applyFont="1" applyBorder="1" applyAlignment="1"/>
    <xf numFmtId="0" fontId="1" fillId="0" borderId="13" xfId="0" applyFont="1" applyFill="1" applyBorder="1"/>
    <xf numFmtId="0" fontId="1" fillId="0" borderId="16" xfId="0" applyFont="1" applyBorder="1"/>
    <xf numFmtId="0" fontId="1" fillId="0" borderId="13" xfId="0" applyFont="1" applyBorder="1"/>
    <xf numFmtId="0" fontId="7" fillId="0" borderId="18" xfId="0" applyFont="1" applyBorder="1"/>
    <xf numFmtId="173" fontId="7" fillId="0" borderId="191"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84" xfId="0" applyNumberFormat="1" applyFont="1" applyBorder="1"/>
    <xf numFmtId="0" fontId="1" fillId="0" borderId="10" xfId="0" applyFont="1" applyFill="1" applyBorder="1"/>
    <xf numFmtId="173" fontId="7" fillId="0" borderId="84" xfId="0" applyNumberFormat="1" applyFont="1" applyBorder="1"/>
    <xf numFmtId="0" fontId="12" fillId="0" borderId="58" xfId="0" applyFont="1" applyBorder="1"/>
    <xf numFmtId="0" fontId="113" fillId="0" borderId="5" xfId="0" applyFont="1" applyBorder="1"/>
    <xf numFmtId="0" fontId="1" fillId="0" borderId="5" xfId="0" applyFont="1" applyBorder="1"/>
    <xf numFmtId="0" fontId="1" fillId="0" borderId="34" xfId="0" applyFont="1" applyBorder="1"/>
    <xf numFmtId="49" fontId="95" fillId="0" borderId="0" xfId="0" applyNumberFormat="1" applyFont="1"/>
    <xf numFmtId="49" fontId="1" fillId="0" borderId="100" xfId="0" applyNumberFormat="1" applyFont="1" applyBorder="1" applyAlignment="1"/>
    <xf numFmtId="49" fontId="1" fillId="0" borderId="0" xfId="0" applyNumberFormat="1" applyFont="1" applyAlignment="1"/>
    <xf numFmtId="49" fontId="1" fillId="0" borderId="91" xfId="0" applyNumberFormat="1" applyFont="1" applyBorder="1"/>
    <xf numFmtId="49" fontId="1" fillId="0" borderId="91" xfId="0" applyNumberFormat="1" applyFont="1" applyFill="1" applyBorder="1"/>
    <xf numFmtId="181" fontId="15" fillId="3" borderId="71" xfId="0" applyNumberFormat="1" applyFont="1" applyFill="1" applyBorder="1" applyAlignment="1" applyProtection="1">
      <alignment horizontal="left" vertical="center"/>
      <protection locked="0"/>
    </xf>
    <xf numFmtId="181" fontId="15" fillId="3" borderId="45" xfId="0" applyNumberFormat="1" applyFont="1" applyFill="1" applyBorder="1" applyAlignment="1" applyProtection="1">
      <alignment horizontal="left" vertical="center"/>
      <protection locked="0"/>
    </xf>
    <xf numFmtId="181" fontId="1" fillId="0" borderId="8" xfId="0" applyNumberFormat="1" applyFont="1" applyBorder="1" applyAlignment="1">
      <alignment horizontal="left"/>
    </xf>
    <xf numFmtId="0" fontId="16" fillId="0" borderId="17" xfId="0" applyFont="1" applyBorder="1"/>
    <xf numFmtId="0" fontId="1" fillId="0" borderId="4" xfId="0" applyFont="1" applyBorder="1"/>
    <xf numFmtId="0" fontId="7" fillId="0" borderId="4" xfId="0" applyFont="1" applyBorder="1"/>
    <xf numFmtId="0" fontId="7" fillId="0" borderId="46" xfId="0" applyFont="1" applyBorder="1"/>
    <xf numFmtId="0" fontId="7" fillId="12" borderId="14" xfId="0" applyFont="1" applyFill="1" applyBorder="1" applyAlignment="1">
      <alignment horizontal="centerContinuous"/>
    </xf>
    <xf numFmtId="0" fontId="7" fillId="12" borderId="9" xfId="0" applyFont="1" applyFill="1" applyBorder="1" applyAlignment="1">
      <alignment horizontal="center"/>
    </xf>
    <xf numFmtId="0" fontId="7" fillId="0" borderId="97" xfId="0" applyFont="1" applyBorder="1" applyAlignment="1">
      <alignment horizontal="center"/>
    </xf>
    <xf numFmtId="0" fontId="7" fillId="0" borderId="9" xfId="0" applyFont="1" applyBorder="1" applyAlignment="1">
      <alignment horizontal="center"/>
    </xf>
    <xf numFmtId="0" fontId="1" fillId="0" borderId="14" xfId="0" applyFont="1" applyBorder="1"/>
    <xf numFmtId="0" fontId="1" fillId="0" borderId="11" xfId="0" applyFont="1" applyBorder="1"/>
    <xf numFmtId="0" fontId="1" fillId="0" borderId="46" xfId="0" applyFont="1" applyBorder="1"/>
    <xf numFmtId="0" fontId="7" fillId="0" borderId="9" xfId="0" applyFont="1" applyBorder="1" applyAlignment="1">
      <alignment horizontal="centerContinuous"/>
    </xf>
    <xf numFmtId="0" fontId="1" fillId="0" borderId="207" xfId="0" quotePrefix="1" applyFont="1" applyBorder="1" applyAlignment="1">
      <alignment horizontal="center"/>
    </xf>
    <xf numFmtId="0" fontId="1" fillId="0" borderId="9" xfId="0" quotePrefix="1" applyFont="1" applyBorder="1" applyAlignment="1">
      <alignment horizontal="center"/>
    </xf>
    <xf numFmtId="0" fontId="1" fillId="12" borderId="52" xfId="0" applyFont="1" applyFill="1" applyBorder="1"/>
    <xf numFmtId="0" fontId="1" fillId="0" borderId="29" xfId="0" applyFont="1" applyBorder="1"/>
    <xf numFmtId="1" fontId="1" fillId="0" borderId="97" xfId="0" applyNumberFormat="1" applyFont="1" applyFill="1" applyBorder="1" applyAlignment="1">
      <alignment horizontal="center"/>
    </xf>
    <xf numFmtId="0" fontId="1" fillId="0" borderId="90" xfId="0" applyFont="1" applyBorder="1" applyAlignment="1">
      <alignment horizontal="center"/>
    </xf>
    <xf numFmtId="0" fontId="1" fillId="12" borderId="81" xfId="0" applyFont="1" applyFill="1" applyBorder="1"/>
    <xf numFmtId="0" fontId="1" fillId="0" borderId="9" xfId="0" applyFont="1" applyFill="1" applyBorder="1"/>
    <xf numFmtId="0" fontId="1" fillId="12" borderId="11" xfId="0" applyFont="1" applyFill="1" applyBorder="1"/>
    <xf numFmtId="0" fontId="7" fillId="0" borderId="14" xfId="0" applyFont="1" applyBorder="1" applyAlignment="1">
      <alignment horizontal="center"/>
    </xf>
    <xf numFmtId="0" fontId="1" fillId="0" borderId="48" xfId="0" applyFont="1" applyBorder="1"/>
    <xf numFmtId="0" fontId="1" fillId="0" borderId="90" xfId="0" applyFont="1" applyBorder="1"/>
    <xf numFmtId="0" fontId="1" fillId="0" borderId="9" xfId="0" applyFont="1" applyBorder="1"/>
    <xf numFmtId="190" fontId="7" fillId="0" borderId="11" xfId="0" applyNumberFormat="1" applyFont="1" applyBorder="1"/>
    <xf numFmtId="190" fontId="7" fillId="0" borderId="133" xfId="0" applyNumberFormat="1" applyFont="1" applyBorder="1" applyAlignment="1">
      <alignment horizontal="centerContinuous"/>
    </xf>
    <xf numFmtId="190" fontId="1" fillId="0" borderId="9" xfId="0" applyNumberFormat="1" applyFont="1" applyBorder="1"/>
    <xf numFmtId="190" fontId="1" fillId="0" borderId="11" xfId="0" quotePrefix="1" applyNumberFormat="1" applyFont="1" applyBorder="1"/>
    <xf numFmtId="0" fontId="7" fillId="0" borderId="9" xfId="0" applyFont="1" applyBorder="1"/>
    <xf numFmtId="15" fontId="1" fillId="0" borderId="9" xfId="0" applyNumberFormat="1" applyFont="1" applyBorder="1" applyAlignment="1">
      <alignment horizontal="centerContinuous"/>
    </xf>
    <xf numFmtId="0" fontId="7" fillId="0" borderId="46" xfId="0" applyFont="1" applyBorder="1" applyAlignment="1">
      <alignment horizontal="centerContinuous"/>
    </xf>
    <xf numFmtId="0" fontId="1" fillId="0" borderId="9" xfId="0" applyFont="1" applyBorder="1" applyAlignment="1">
      <alignment horizontal="center"/>
    </xf>
    <xf numFmtId="0" fontId="1" fillId="12" borderId="4" xfId="0" applyFont="1" applyFill="1" applyBorder="1"/>
    <xf numFmtId="0" fontId="115" fillId="0" borderId="0" xfId="0" applyFont="1" applyAlignment="1">
      <alignment horizontal="left" vertical="center" indent="1"/>
    </xf>
    <xf numFmtId="0" fontId="117" fillId="0" borderId="0" xfId="0" applyFont="1" applyAlignment="1">
      <alignment horizontal="left" vertical="center" indent="1"/>
    </xf>
    <xf numFmtId="0" fontId="14" fillId="0" borderId="85" xfId="0" applyFont="1" applyFill="1" applyBorder="1" applyAlignment="1" applyProtection="1">
      <alignment horizontal="right" vertical="center"/>
    </xf>
    <xf numFmtId="0" fontId="84" fillId="0" borderId="30" xfId="0" applyFont="1" applyBorder="1" applyAlignment="1" applyProtection="1">
      <alignment horizontal="left" vertical="center"/>
    </xf>
    <xf numFmtId="0" fontId="15" fillId="6" borderId="134" xfId="0" applyFont="1" applyFill="1" applyBorder="1" applyAlignment="1" applyProtection="1">
      <alignment horizontal="center" vertical="center" wrapText="1"/>
    </xf>
    <xf numFmtId="0" fontId="85" fillId="6" borderId="135" xfId="0" applyFont="1" applyFill="1" applyBorder="1" applyAlignment="1" applyProtection="1">
      <alignment horizontal="left" vertical="center" wrapText="1"/>
    </xf>
    <xf numFmtId="0" fontId="34" fillId="0" borderId="9" xfId="0" applyFont="1" applyBorder="1" applyAlignment="1">
      <alignment vertical="center"/>
    </xf>
    <xf numFmtId="0" fontId="34" fillId="0" borderId="10" xfId="0" applyFont="1" applyBorder="1" applyAlignment="1">
      <alignment vertical="center"/>
    </xf>
    <xf numFmtId="0" fontId="14" fillId="0" borderId="10" xfId="0" applyFont="1" applyBorder="1" applyAlignment="1">
      <alignment vertical="center"/>
    </xf>
    <xf numFmtId="173" fontId="14" fillId="0" borderId="93" xfId="0" applyNumberFormat="1" applyFont="1" applyBorder="1" applyAlignment="1">
      <alignment vertical="center"/>
    </xf>
    <xf numFmtId="2" fontId="7" fillId="0" borderId="5" xfId="0" applyNumberFormat="1" applyFont="1" applyBorder="1" applyAlignment="1">
      <alignment horizontal="right" vertical="center"/>
    </xf>
    <xf numFmtId="2" fontId="14" fillId="0" borderId="5" xfId="0" applyNumberFormat="1" applyFont="1" applyBorder="1" applyAlignment="1">
      <alignment vertical="center"/>
    </xf>
    <xf numFmtId="2" fontId="14" fillId="0" borderId="10" xfId="0" applyNumberFormat="1" applyFont="1" applyBorder="1" applyAlignment="1">
      <alignment vertical="center"/>
    </xf>
    <xf numFmtId="165" fontId="14" fillId="0" borderId="93" xfId="0" applyNumberFormat="1" applyFont="1" applyBorder="1" applyAlignment="1">
      <alignment vertical="center"/>
    </xf>
    <xf numFmtId="0" fontId="14" fillId="0" borderId="52" xfId="0" applyFont="1" applyBorder="1" applyAlignment="1">
      <alignment vertical="center"/>
    </xf>
    <xf numFmtId="0" fontId="14" fillId="0" borderId="1" xfId="0" applyFont="1" applyBorder="1" applyAlignment="1">
      <alignment vertical="center"/>
    </xf>
    <xf numFmtId="2" fontId="14" fillId="0" borderId="1" xfId="0" applyNumberFormat="1" applyFont="1" applyBorder="1" applyAlignment="1">
      <alignment vertical="center"/>
    </xf>
    <xf numFmtId="165" fontId="4" fillId="0" borderId="118" xfId="0" applyNumberFormat="1"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72" xfId="0" applyFont="1" applyBorder="1" applyAlignment="1">
      <alignment horizontal="right" vertical="center"/>
    </xf>
    <xf numFmtId="0" fontId="15" fillId="0" borderId="65" xfId="0" applyFont="1" applyBorder="1" applyAlignment="1">
      <alignment horizontal="right" vertical="center"/>
    </xf>
    <xf numFmtId="2" fontId="15" fillId="0" borderId="65" xfId="0" applyNumberFormat="1" applyFont="1" applyBorder="1" applyAlignment="1">
      <alignment horizontal="right" vertical="center"/>
    </xf>
    <xf numFmtId="0" fontId="7" fillId="0" borderId="65" xfId="0" applyFont="1" applyBorder="1" applyAlignment="1">
      <alignment horizontal="right" vertical="center"/>
    </xf>
    <xf numFmtId="165" fontId="48" fillId="4" borderId="115" xfId="0" applyNumberFormat="1" applyFont="1" applyFill="1" applyBorder="1" applyAlignment="1">
      <alignment vertical="center"/>
    </xf>
    <xf numFmtId="165" fontId="48" fillId="0" borderId="65" xfId="0" applyNumberFormat="1" applyFont="1" applyFill="1" applyBorder="1" applyAlignment="1">
      <alignment vertical="center"/>
    </xf>
    <xf numFmtId="0" fontId="119" fillId="0" borderId="0" xfId="0" applyFont="1" applyBorder="1" applyAlignment="1">
      <alignment vertical="center"/>
    </xf>
    <xf numFmtId="0" fontId="106" fillId="0" borderId="17" xfId="0" applyFont="1" applyBorder="1" applyAlignment="1">
      <alignment vertical="center"/>
    </xf>
    <xf numFmtId="165" fontId="48" fillId="4" borderId="70" xfId="1" applyFont="1" applyFill="1" applyBorder="1" applyAlignment="1">
      <alignment vertical="center"/>
    </xf>
    <xf numFmtId="0" fontId="15" fillId="0" borderId="10" xfId="0" applyFont="1" applyBorder="1" applyAlignment="1">
      <alignment horizontal="left" vertical="center"/>
    </xf>
    <xf numFmtId="0" fontId="12" fillId="0" borderId="10" xfId="0" applyFont="1" applyBorder="1" applyAlignment="1">
      <alignment horizontal="left" vertical="center"/>
    </xf>
    <xf numFmtId="166" fontId="12" fillId="0" borderId="10" xfId="0" applyNumberFormat="1" applyFont="1" applyBorder="1" applyAlignment="1">
      <alignment horizontal="left" vertical="center"/>
    </xf>
    <xf numFmtId="165" fontId="12" fillId="0" borderId="93" xfId="0" applyNumberFormat="1" applyFont="1" applyBorder="1" applyAlignment="1">
      <alignment horizontal="left" vertical="center"/>
    </xf>
    <xf numFmtId="0" fontId="7" fillId="0" borderId="72" xfId="0" applyFont="1" applyBorder="1" applyAlignment="1">
      <alignment horizontal="right" vertical="center"/>
    </xf>
    <xf numFmtId="166" fontId="7" fillId="0" borderId="65" xfId="0" applyNumberFormat="1" applyFont="1" applyBorder="1" applyAlignment="1">
      <alignment horizontal="right" vertical="center"/>
    </xf>
    <xf numFmtId="165" fontId="48" fillId="0" borderId="101" xfId="1" applyFont="1" applyFill="1" applyBorder="1" applyAlignment="1">
      <alignment vertical="center"/>
    </xf>
    <xf numFmtId="165" fontId="12" fillId="0" borderId="8" xfId="0" applyNumberFormat="1" applyFont="1" applyBorder="1" applyAlignment="1">
      <alignment vertical="center"/>
    </xf>
    <xf numFmtId="165" fontId="12" fillId="0" borderId="93" xfId="0" applyNumberFormat="1" applyFont="1" applyBorder="1" applyAlignment="1">
      <alignment vertical="center"/>
    </xf>
    <xf numFmtId="180" fontId="39" fillId="0" borderId="5" xfId="0" applyNumberFormat="1" applyFont="1" applyBorder="1" applyAlignment="1">
      <alignment horizontal="left" vertical="center"/>
    </xf>
    <xf numFmtId="184" fontId="31" fillId="0" borderId="10" xfId="0" applyNumberFormat="1" applyFont="1" applyBorder="1" applyAlignment="1">
      <alignment horizontal="left" vertical="center"/>
    </xf>
    <xf numFmtId="184" fontId="39" fillId="0" borderId="10" xfId="0" applyNumberFormat="1" applyFont="1" applyBorder="1" applyAlignment="1">
      <alignment horizontal="left" vertical="center"/>
    </xf>
    <xf numFmtId="0" fontId="5" fillId="0" borderId="72" xfId="0" applyFont="1" applyFill="1" applyBorder="1" applyAlignment="1" applyProtection="1">
      <alignment vertical="center"/>
    </xf>
    <xf numFmtId="0" fontId="4" fillId="0" borderId="65" xfId="0" applyFont="1" applyBorder="1" applyAlignment="1" applyProtection="1">
      <alignment vertical="center"/>
    </xf>
    <xf numFmtId="0" fontId="4" fillId="0" borderId="65" xfId="0" applyFont="1" applyBorder="1" applyAlignment="1" applyProtection="1">
      <alignment horizontal="left" vertical="center"/>
    </xf>
    <xf numFmtId="0" fontId="7" fillId="0" borderId="65" xfId="0" applyFont="1" applyBorder="1" applyAlignment="1" applyProtection="1">
      <alignment horizontal="left" vertical="center"/>
    </xf>
    <xf numFmtId="0" fontId="6" fillId="0" borderId="65" xfId="0" applyFont="1" applyFill="1" applyBorder="1" applyAlignment="1" applyProtection="1">
      <alignment vertical="center"/>
    </xf>
    <xf numFmtId="165" fontId="1" fillId="0" borderId="176" xfId="0" applyNumberFormat="1" applyFont="1" applyBorder="1"/>
    <xf numFmtId="0" fontId="49" fillId="0" borderId="4" xfId="0" applyFont="1" applyBorder="1" applyAlignment="1">
      <alignment horizontal="left" vertical="center"/>
    </xf>
    <xf numFmtId="0" fontId="49" fillId="0" borderId="0" xfId="0" applyFont="1" applyBorder="1" applyAlignment="1">
      <alignment horizontal="left" vertical="center"/>
    </xf>
    <xf numFmtId="0" fontId="12" fillId="0" borderId="28" xfId="0" applyFont="1" applyBorder="1" applyAlignment="1">
      <alignment horizontal="center" vertical="center" wrapText="1"/>
    </xf>
    <xf numFmtId="0" fontId="12" fillId="0" borderId="21" xfId="0" applyFont="1" applyBorder="1" applyAlignment="1">
      <alignment horizontal="center" vertical="center" wrapText="1"/>
    </xf>
    <xf numFmtId="173" fontId="12" fillId="0" borderId="45" xfId="0" applyNumberFormat="1" applyFont="1" applyBorder="1" applyAlignment="1">
      <alignment horizontal="center" vertical="center" wrapText="1"/>
    </xf>
    <xf numFmtId="14" fontId="18" fillId="3" borderId="106" xfId="0" applyNumberFormat="1" applyFont="1" applyFill="1" applyBorder="1" applyAlignment="1" applyProtection="1">
      <alignment vertical="center"/>
      <protection locked="0"/>
    </xf>
    <xf numFmtId="0" fontId="21" fillId="0" borderId="35" xfId="0" applyFont="1" applyBorder="1" applyAlignment="1">
      <alignment horizontal="right" vertical="center"/>
    </xf>
    <xf numFmtId="0" fontId="7" fillId="0" borderId="186" xfId="0" applyFont="1" applyBorder="1" applyAlignment="1">
      <alignment vertical="center"/>
    </xf>
    <xf numFmtId="0" fontId="7" fillId="0" borderId="187" xfId="0" applyFont="1" applyBorder="1" applyAlignment="1">
      <alignment vertical="center"/>
    </xf>
    <xf numFmtId="0" fontId="12" fillId="0" borderId="187" xfId="0" applyFont="1" applyBorder="1" applyAlignment="1">
      <alignment vertical="center"/>
    </xf>
    <xf numFmtId="173" fontId="12" fillId="0" borderId="220" xfId="0" applyNumberFormat="1" applyFont="1" applyBorder="1" applyAlignment="1">
      <alignment vertical="center"/>
    </xf>
    <xf numFmtId="173" fontId="12" fillId="0" borderId="8" xfId="0" applyNumberFormat="1" applyFont="1" applyBorder="1" applyAlignment="1">
      <alignment vertical="center"/>
    </xf>
    <xf numFmtId="173" fontId="12" fillId="0" borderId="34" xfId="0" applyNumberFormat="1" applyFont="1" applyBorder="1" applyAlignment="1">
      <alignment vertical="center"/>
    </xf>
    <xf numFmtId="165" fontId="18" fillId="3" borderId="119" xfId="1" applyFont="1" applyFill="1" applyBorder="1" applyAlignment="1" applyProtection="1">
      <alignment vertical="center"/>
      <protection locked="0"/>
    </xf>
    <xf numFmtId="165" fontId="18" fillId="3" borderId="130" xfId="1" applyFont="1" applyFill="1" applyBorder="1" applyAlignment="1" applyProtection="1">
      <alignment vertical="center"/>
      <protection locked="0"/>
    </xf>
    <xf numFmtId="165" fontId="21" fillId="0" borderId="139" xfId="1" applyFont="1" applyBorder="1" applyAlignment="1">
      <alignment vertical="center"/>
    </xf>
    <xf numFmtId="165" fontId="7" fillId="0" borderId="84" xfId="1" applyFont="1" applyBorder="1" applyAlignment="1">
      <alignment vertical="center"/>
    </xf>
    <xf numFmtId="0" fontId="1" fillId="0" borderId="4" xfId="0" applyFont="1" applyBorder="1" applyAlignment="1">
      <alignment horizontal="left" vertical="center"/>
    </xf>
    <xf numFmtId="170" fontId="5" fillId="0" borderId="2" xfId="0" applyNumberFormat="1" applyFont="1" applyFill="1" applyBorder="1" applyAlignment="1" applyProtection="1">
      <alignment vertical="center"/>
    </xf>
    <xf numFmtId="173" fontId="14" fillId="0" borderId="2" xfId="0" applyNumberFormat="1" applyFont="1" applyFill="1" applyBorder="1" applyAlignment="1" applyProtection="1">
      <alignment horizontal="left" vertical="center"/>
    </xf>
    <xf numFmtId="165" fontId="1" fillId="0" borderId="3" xfId="0" applyNumberFormat="1" applyFont="1" applyBorder="1" applyAlignment="1" applyProtection="1">
      <alignment vertical="center"/>
    </xf>
    <xf numFmtId="173" fontId="7" fillId="0" borderId="54" xfId="0" applyNumberFormat="1" applyFont="1" applyBorder="1" applyAlignment="1" applyProtection="1">
      <alignment vertical="center"/>
    </xf>
    <xf numFmtId="173" fontId="7" fillId="0" borderId="87" xfId="0" applyNumberFormat="1" applyFont="1" applyBorder="1" applyAlignment="1" applyProtection="1">
      <alignment vertical="center"/>
    </xf>
    <xf numFmtId="173" fontId="12" fillId="0" borderId="5" xfId="0" applyNumberFormat="1" applyFont="1" applyBorder="1" applyAlignment="1" applyProtection="1">
      <alignment vertical="center"/>
    </xf>
    <xf numFmtId="173" fontId="7" fillId="0" borderId="53" xfId="0" applyNumberFormat="1" applyFont="1" applyBorder="1" applyAlignment="1" applyProtection="1">
      <alignment vertical="center"/>
    </xf>
    <xf numFmtId="0" fontId="1" fillId="0" borderId="94" xfId="0" applyFont="1" applyBorder="1"/>
    <xf numFmtId="165" fontId="1" fillId="0" borderId="94" xfId="0" applyNumberFormat="1" applyFont="1" applyBorder="1"/>
    <xf numFmtId="165" fontId="69" fillId="0" borderId="43" xfId="13" applyNumberFormat="1" applyFont="1" applyFill="1" applyBorder="1" applyAlignment="1" applyProtection="1">
      <alignment vertical="center"/>
    </xf>
    <xf numFmtId="166" fontId="1" fillId="0" borderId="94" xfId="0" applyNumberFormat="1" applyFont="1" applyBorder="1"/>
    <xf numFmtId="0" fontId="1" fillId="0" borderId="29" xfId="0" applyFont="1" applyBorder="1" applyAlignment="1" applyProtection="1">
      <alignment horizontal="center" vertical="center" wrapText="1"/>
    </xf>
    <xf numFmtId="166" fontId="1" fillId="0" borderId="29" xfId="0" applyNumberFormat="1" applyFont="1" applyBorder="1" applyAlignment="1" applyProtection="1">
      <alignment horizontal="right" vertical="center"/>
    </xf>
    <xf numFmtId="0" fontId="0" fillId="0" borderId="29" xfId="0" applyBorder="1"/>
    <xf numFmtId="166" fontId="18" fillId="11" borderId="108" xfId="0" applyNumberFormat="1" applyFont="1" applyFill="1" applyBorder="1" applyAlignment="1" applyProtection="1">
      <alignment vertical="center"/>
      <protection locked="0"/>
    </xf>
    <xf numFmtId="166" fontId="1" fillId="11" borderId="167" xfId="0" applyNumberFormat="1" applyFont="1" applyFill="1" applyBorder="1" applyAlignment="1" applyProtection="1">
      <alignment vertical="center"/>
      <protection locked="0"/>
    </xf>
    <xf numFmtId="0" fontId="1" fillId="11" borderId="0" xfId="0" applyFont="1" applyFill="1"/>
    <xf numFmtId="0" fontId="0" fillId="11" borderId="0" xfId="0" applyFill="1"/>
    <xf numFmtId="166" fontId="18" fillId="11" borderId="69" xfId="0" applyNumberFormat="1" applyFont="1" applyFill="1" applyBorder="1" applyAlignment="1" applyProtection="1">
      <alignment vertical="center"/>
      <protection locked="0"/>
    </xf>
    <xf numFmtId="166" fontId="18" fillId="3" borderId="73" xfId="0" applyNumberFormat="1" applyFont="1" applyFill="1" applyBorder="1" applyAlignment="1" applyProtection="1">
      <alignment vertical="center"/>
      <protection locked="0"/>
    </xf>
    <xf numFmtId="166" fontId="1" fillId="11" borderId="69" xfId="0" applyNumberFormat="1" applyFont="1" applyFill="1" applyBorder="1" applyAlignment="1" applyProtection="1">
      <alignment vertical="center"/>
      <protection locked="0"/>
    </xf>
    <xf numFmtId="166" fontId="12" fillId="11" borderId="69" xfId="0" applyNumberFormat="1" applyFont="1" applyFill="1" applyBorder="1" applyAlignment="1" applyProtection="1">
      <alignment vertical="center"/>
      <protection locked="0"/>
    </xf>
    <xf numFmtId="0" fontId="1" fillId="0" borderId="94" xfId="0" applyFont="1" applyBorder="1" applyAlignment="1">
      <alignment horizontal="center" vertical="center"/>
    </xf>
    <xf numFmtId="184" fontId="31" fillId="0" borderId="21" xfId="0" applyNumberFormat="1" applyFont="1" applyBorder="1" applyAlignment="1" applyProtection="1">
      <alignment horizontal="left" vertical="center"/>
    </xf>
    <xf numFmtId="0" fontId="95" fillId="11" borderId="1" xfId="0" applyFont="1" applyFill="1" applyBorder="1" applyAlignment="1" applyProtection="1">
      <alignment vertical="center"/>
      <protection locked="0"/>
    </xf>
    <xf numFmtId="0" fontId="95" fillId="11" borderId="118" xfId="0" applyFont="1" applyFill="1" applyBorder="1" applyAlignment="1" applyProtection="1">
      <alignment vertical="center"/>
      <protection locked="0"/>
    </xf>
    <xf numFmtId="49" fontId="34" fillId="11" borderId="94" xfId="0" applyNumberFormat="1" applyFont="1" applyFill="1" applyBorder="1" applyAlignment="1" applyProtection="1">
      <alignment vertical="center"/>
      <protection locked="0"/>
    </xf>
    <xf numFmtId="0" fontId="12" fillId="11" borderId="29" xfId="0" applyFont="1" applyFill="1" applyBorder="1" applyAlignment="1" applyProtection="1">
      <alignment vertical="center"/>
      <protection locked="0"/>
    </xf>
    <xf numFmtId="184" fontId="42" fillId="0" borderId="10" xfId="0" applyNumberFormat="1" applyFont="1" applyBorder="1" applyAlignment="1" applyProtection="1">
      <alignment horizontal="left" vertical="center"/>
    </xf>
    <xf numFmtId="2" fontId="109" fillId="0" borderId="170" xfId="0" applyNumberFormat="1" applyFont="1" applyBorder="1" applyAlignment="1">
      <alignment vertical="center"/>
    </xf>
    <xf numFmtId="2" fontId="109" fillId="0" borderId="171" xfId="0" applyNumberFormat="1" applyFont="1" applyBorder="1" applyAlignment="1">
      <alignment vertical="center"/>
    </xf>
    <xf numFmtId="2" fontId="109" fillId="0" borderId="172" xfId="0" applyNumberFormat="1" applyFont="1" applyBorder="1" applyAlignment="1">
      <alignment vertical="center"/>
    </xf>
    <xf numFmtId="165" fontId="19" fillId="3" borderId="40" xfId="1" applyFont="1" applyFill="1" applyBorder="1" applyAlignment="1" applyProtection="1">
      <alignment vertical="center"/>
      <protection locked="0"/>
    </xf>
    <xf numFmtId="165" fontId="4" fillId="0" borderId="70" xfId="1" applyFont="1" applyBorder="1" applyAlignment="1">
      <alignment vertical="center"/>
    </xf>
    <xf numFmtId="165" fontId="19" fillId="3" borderId="27" xfId="1" applyFont="1" applyFill="1" applyBorder="1" applyAlignment="1" applyProtection="1">
      <alignment vertical="center"/>
      <protection locked="0"/>
    </xf>
    <xf numFmtId="165" fontId="4" fillId="0" borderId="125" xfId="1" applyFont="1" applyBorder="1" applyAlignment="1">
      <alignment vertical="center"/>
    </xf>
    <xf numFmtId="165" fontId="4" fillId="0" borderId="126" xfId="1" applyFont="1" applyBorder="1" applyAlignment="1">
      <alignment vertical="center"/>
    </xf>
    <xf numFmtId="165" fontId="19" fillId="3" borderId="127" xfId="1" applyFont="1" applyFill="1" applyBorder="1" applyAlignment="1" applyProtection="1">
      <alignment vertical="center"/>
      <protection locked="0"/>
    </xf>
    <xf numFmtId="165" fontId="4" fillId="0" borderId="113" xfId="1" applyFont="1" applyBorder="1" applyAlignment="1">
      <alignment vertical="center"/>
    </xf>
    <xf numFmtId="165" fontId="7" fillId="0" borderId="22" xfId="1" applyFont="1" applyBorder="1" applyAlignment="1">
      <alignment horizontal="right" vertical="center"/>
    </xf>
    <xf numFmtId="165" fontId="4" fillId="0" borderId="71" xfId="1" applyFont="1" applyBorder="1" applyAlignment="1">
      <alignment vertical="center"/>
    </xf>
    <xf numFmtId="165" fontId="7" fillId="0" borderId="1" xfId="1" applyFont="1" applyBorder="1" applyAlignment="1">
      <alignment horizontal="right" vertical="center"/>
    </xf>
    <xf numFmtId="165" fontId="48" fillId="4" borderId="69" xfId="1" applyFont="1" applyFill="1" applyBorder="1" applyAlignment="1">
      <alignment vertical="center"/>
    </xf>
    <xf numFmtId="165" fontId="19" fillId="3" borderId="41" xfId="1" applyFont="1" applyFill="1" applyBorder="1" applyAlignment="1" applyProtection="1">
      <alignment vertical="center"/>
      <protection locked="0"/>
    </xf>
    <xf numFmtId="165" fontId="15" fillId="0" borderId="35" xfId="1" applyFont="1" applyBorder="1" applyAlignment="1">
      <alignment horizontal="right" vertical="center"/>
    </xf>
    <xf numFmtId="165" fontId="7" fillId="0" borderId="73" xfId="1" applyFont="1" applyBorder="1" applyAlignment="1">
      <alignment horizontal="right" vertical="center"/>
    </xf>
    <xf numFmtId="165" fontId="15" fillId="0" borderId="22" xfId="1" applyFont="1" applyBorder="1" applyAlignment="1">
      <alignment horizontal="right" vertical="center"/>
    </xf>
    <xf numFmtId="165" fontId="18" fillId="3" borderId="40" xfId="1" applyFont="1" applyFill="1" applyBorder="1" applyAlignment="1" applyProtection="1">
      <alignment vertical="center"/>
      <protection locked="0"/>
    </xf>
    <xf numFmtId="165" fontId="18" fillId="3" borderId="27" xfId="1" applyFont="1" applyFill="1" applyBorder="1" applyAlignment="1" applyProtection="1">
      <alignment vertical="center"/>
      <protection locked="0"/>
    </xf>
    <xf numFmtId="165" fontId="14" fillId="0" borderId="112" xfId="1" applyFont="1" applyBorder="1" applyAlignment="1">
      <alignment vertical="center"/>
    </xf>
    <xf numFmtId="165" fontId="51" fillId="4" borderId="45" xfId="1" applyFont="1" applyFill="1" applyBorder="1" applyAlignment="1">
      <alignment vertical="center"/>
    </xf>
    <xf numFmtId="165" fontId="14" fillId="0" borderId="45" xfId="1" applyFont="1" applyBorder="1"/>
    <xf numFmtId="165" fontId="51" fillId="0" borderId="115" xfId="1" applyFont="1" applyFill="1" applyBorder="1" applyAlignment="1">
      <alignment vertical="center"/>
    </xf>
    <xf numFmtId="2" fontId="18" fillId="0" borderId="170" xfId="0" applyNumberFormat="1" applyFont="1" applyFill="1" applyBorder="1" applyAlignment="1" applyProtection="1">
      <alignment vertical="center"/>
    </xf>
    <xf numFmtId="2" fontId="18" fillId="0" borderId="40" xfId="0" applyNumberFormat="1" applyFont="1" applyFill="1" applyBorder="1" applyAlignment="1" applyProtection="1">
      <alignment vertical="center"/>
    </xf>
    <xf numFmtId="2" fontId="18" fillId="0" borderId="27" xfId="0" applyNumberFormat="1" applyFont="1" applyFill="1" applyBorder="1" applyAlignment="1" applyProtection="1">
      <alignment vertical="center"/>
    </xf>
    <xf numFmtId="2" fontId="18" fillId="0" borderId="41" xfId="0" applyNumberFormat="1" applyFont="1" applyFill="1" applyBorder="1" applyAlignment="1" applyProtection="1">
      <alignment vertical="center"/>
    </xf>
    <xf numFmtId="165" fontId="18" fillId="3" borderId="170" xfId="1" applyFont="1" applyFill="1" applyBorder="1" applyAlignment="1" applyProtection="1">
      <alignment vertical="center"/>
      <protection locked="0"/>
    </xf>
    <xf numFmtId="165" fontId="18" fillId="3" borderId="171" xfId="1" applyFont="1" applyFill="1" applyBorder="1" applyAlignment="1" applyProtection="1">
      <alignment vertical="center"/>
      <protection locked="0"/>
    </xf>
    <xf numFmtId="165" fontId="18" fillId="3" borderId="172" xfId="1" applyFont="1" applyFill="1" applyBorder="1" applyAlignment="1" applyProtection="1">
      <alignment vertical="center"/>
      <protection locked="0"/>
    </xf>
    <xf numFmtId="165" fontId="7" fillId="0" borderId="6" xfId="1" applyFont="1" applyBorder="1" applyAlignment="1">
      <alignment horizontal="right" vertical="center"/>
    </xf>
    <xf numFmtId="165" fontId="7" fillId="0" borderId="15" xfId="1" applyFont="1" applyBorder="1" applyAlignment="1">
      <alignment horizontal="right" vertical="center"/>
    </xf>
    <xf numFmtId="165" fontId="15" fillId="0" borderId="5" xfId="1" applyFont="1" applyBorder="1" applyAlignment="1">
      <alignment horizontal="right"/>
    </xf>
    <xf numFmtId="165" fontId="15" fillId="0" borderId="34" xfId="1" applyFont="1" applyBorder="1"/>
    <xf numFmtId="165" fontId="15" fillId="0" borderId="21" xfId="1" applyFont="1" applyBorder="1" applyAlignment="1">
      <alignment horizontal="center" vertical="center" wrapText="1"/>
    </xf>
    <xf numFmtId="165" fontId="15" fillId="0" borderId="45" xfId="1" applyFont="1" applyBorder="1" applyAlignment="1">
      <alignment horizontal="center" vertical="center" wrapText="1"/>
    </xf>
    <xf numFmtId="165" fontId="18" fillId="3" borderId="26" xfId="1" applyFont="1" applyFill="1" applyBorder="1" applyAlignment="1" applyProtection="1">
      <alignment vertical="center"/>
      <protection locked="0"/>
    </xf>
    <xf numFmtId="165" fontId="18" fillId="3" borderId="7" xfId="1" applyFont="1" applyFill="1" applyBorder="1" applyAlignment="1" applyProtection="1">
      <alignment vertical="center"/>
      <protection locked="0"/>
    </xf>
    <xf numFmtId="165" fontId="7" fillId="0" borderId="35" xfId="1" applyFont="1" applyBorder="1" applyAlignment="1">
      <alignment horizontal="right" vertical="center"/>
    </xf>
    <xf numFmtId="165" fontId="1" fillId="0" borderId="8" xfId="1" applyFont="1" applyBorder="1" applyAlignment="1">
      <alignment vertical="center"/>
    </xf>
    <xf numFmtId="165" fontId="110" fillId="0" borderId="113" xfId="1" applyFont="1" applyBorder="1"/>
    <xf numFmtId="165" fontId="18" fillId="3" borderId="38" xfId="1" applyFont="1" applyFill="1" applyBorder="1" applyAlignment="1" applyProtection="1">
      <alignment vertical="center"/>
      <protection locked="0"/>
    </xf>
    <xf numFmtId="165" fontId="1" fillId="0" borderId="74" xfId="1" applyFont="1" applyBorder="1" applyAlignment="1">
      <alignment vertical="center"/>
    </xf>
    <xf numFmtId="165" fontId="7" fillId="0" borderId="5" xfId="1" applyFont="1" applyBorder="1" applyAlignment="1">
      <alignment horizontal="right" vertical="center"/>
    </xf>
    <xf numFmtId="165" fontId="18" fillId="3" borderId="38" xfId="1" applyFont="1" applyFill="1" applyBorder="1" applyProtection="1">
      <protection locked="0"/>
    </xf>
    <xf numFmtId="165" fontId="18" fillId="3" borderId="185" xfId="1" applyFont="1" applyFill="1" applyBorder="1" applyAlignment="1" applyProtection="1">
      <alignment vertical="center"/>
      <protection locked="0"/>
    </xf>
    <xf numFmtId="165" fontId="7" fillId="0" borderId="136" xfId="1" applyFont="1" applyBorder="1" applyAlignment="1">
      <alignment horizontal="right" vertical="center"/>
    </xf>
    <xf numFmtId="165" fontId="7" fillId="0" borderId="7" xfId="1" applyFont="1" applyBorder="1" applyAlignment="1">
      <alignment horizontal="right" vertical="center"/>
    </xf>
    <xf numFmtId="165" fontId="7" fillId="0" borderId="60" xfId="1" applyFont="1" applyBorder="1" applyAlignment="1">
      <alignment horizontal="right" vertical="center"/>
    </xf>
    <xf numFmtId="165" fontId="7" fillId="0" borderId="34" xfId="1" applyFont="1" applyBorder="1" applyAlignment="1">
      <alignment vertical="center"/>
    </xf>
    <xf numFmtId="180" fontId="39" fillId="0" borderId="10" xfId="0" applyNumberFormat="1" applyFont="1" applyBorder="1" applyAlignment="1">
      <alignment horizontal="left" vertical="center"/>
    </xf>
    <xf numFmtId="180" fontId="1" fillId="0" borderId="77" xfId="0" applyNumberFormat="1" applyFont="1" applyBorder="1" applyAlignment="1">
      <alignment horizontal="center"/>
    </xf>
    <xf numFmtId="184" fontId="7" fillId="0" borderId="10" xfId="0" applyNumberFormat="1" applyFont="1" applyBorder="1" applyAlignment="1">
      <alignment horizontal="left"/>
    </xf>
    <xf numFmtId="180" fontId="39" fillId="0" borderId="10" xfId="0" applyNumberFormat="1" applyFont="1" applyBorder="1" applyAlignment="1">
      <alignment horizontal="center" vertical="center"/>
    </xf>
    <xf numFmtId="180" fontId="39" fillId="0" borderId="10" xfId="0" applyNumberFormat="1" applyFont="1" applyBorder="1" applyAlignment="1" applyProtection="1">
      <alignment horizontal="left" vertical="center"/>
    </xf>
    <xf numFmtId="191" fontId="12" fillId="13" borderId="141" xfId="0" applyNumberFormat="1" applyFont="1" applyFill="1" applyBorder="1"/>
    <xf numFmtId="191" fontId="12" fillId="13" borderId="137" xfId="0" applyNumberFormat="1" applyFont="1" applyFill="1" applyBorder="1"/>
    <xf numFmtId="191" fontId="12" fillId="13" borderId="216" xfId="0" applyNumberFormat="1" applyFont="1" applyFill="1" applyBorder="1"/>
    <xf numFmtId="191" fontId="12" fillId="13" borderId="143" xfId="0" applyNumberFormat="1" applyFont="1" applyFill="1" applyBorder="1"/>
    <xf numFmtId="191" fontId="12" fillId="13" borderId="21" xfId="0" applyNumberFormat="1" applyFont="1" applyFill="1" applyBorder="1"/>
    <xf numFmtId="191" fontId="12" fillId="13" borderId="94" xfId="0" applyNumberFormat="1" applyFont="1" applyFill="1" applyBorder="1"/>
    <xf numFmtId="191" fontId="12" fillId="13" borderId="145" xfId="0" applyNumberFormat="1" applyFont="1" applyFill="1" applyBorder="1"/>
    <xf numFmtId="191" fontId="12" fillId="13" borderId="138" xfId="0" applyNumberFormat="1" applyFont="1" applyFill="1" applyBorder="1"/>
    <xf numFmtId="191" fontId="12" fillId="13" borderId="221" xfId="0" applyNumberFormat="1" applyFont="1" applyFill="1" applyBorder="1"/>
    <xf numFmtId="0" fontId="0" fillId="13" borderId="0" xfId="0" applyFill="1"/>
    <xf numFmtId="3" fontId="27" fillId="13" borderId="0" xfId="14" applyNumberFormat="1" applyFont="1" applyFill="1" applyBorder="1" applyProtection="1"/>
    <xf numFmtId="3" fontId="26" fillId="13" borderId="0" xfId="14" applyNumberFormat="1" applyFont="1" applyFill="1" applyBorder="1" applyProtection="1"/>
    <xf numFmtId="0" fontId="12" fillId="13" borderId="0" xfId="0" applyFont="1" applyFill="1" applyBorder="1"/>
    <xf numFmtId="0" fontId="54" fillId="0" borderId="0" xfId="0" applyFont="1" applyAlignment="1">
      <alignment vertical="center" wrapText="1"/>
    </xf>
    <xf numFmtId="0" fontId="120" fillId="0" borderId="194" xfId="0" applyFont="1" applyBorder="1" applyAlignment="1">
      <alignment vertical="center"/>
    </xf>
    <xf numFmtId="9" fontId="120" fillId="0" borderId="222" xfId="0" applyNumberFormat="1" applyFont="1" applyBorder="1" applyAlignment="1">
      <alignment horizontal="center" vertical="center"/>
    </xf>
    <xf numFmtId="0" fontId="120" fillId="0" borderId="223" xfId="0" applyFont="1" applyBorder="1" applyAlignment="1">
      <alignment vertical="center"/>
    </xf>
    <xf numFmtId="9" fontId="120" fillId="0" borderId="224" xfId="0" applyNumberFormat="1" applyFont="1" applyBorder="1" applyAlignment="1">
      <alignment horizontal="center" vertical="center"/>
    </xf>
    <xf numFmtId="0" fontId="25" fillId="0" borderId="102" xfId="0" applyNumberFormat="1" applyFont="1" applyFill="1" applyBorder="1" applyAlignment="1" applyProtection="1">
      <alignment horizontal="center" vertical="center"/>
    </xf>
    <xf numFmtId="0" fontId="1" fillId="0" borderId="21" xfId="0" applyFont="1" applyBorder="1"/>
    <xf numFmtId="0" fontId="48" fillId="0" borderId="143" xfId="0" applyFont="1" applyFill="1" applyBorder="1" applyAlignment="1">
      <alignment vertical="center"/>
    </xf>
    <xf numFmtId="0" fontId="48" fillId="0" borderId="21" xfId="0" applyFont="1" applyFill="1" applyBorder="1" applyAlignment="1">
      <alignment horizontal="left" vertical="center" wrapText="1"/>
    </xf>
    <xf numFmtId="9" fontId="48" fillId="0" borderId="21" xfId="15" applyFont="1" applyFill="1" applyBorder="1" applyAlignment="1">
      <alignment horizontal="center" vertical="center" wrapText="1"/>
    </xf>
    <xf numFmtId="0" fontId="48" fillId="0" borderId="21" xfId="0" applyFont="1" applyFill="1" applyBorder="1" applyAlignment="1">
      <alignment vertical="center"/>
    </xf>
    <xf numFmtId="9" fontId="48" fillId="0" borderId="21" xfId="15" applyFont="1" applyFill="1" applyBorder="1" applyAlignment="1">
      <alignment vertical="center"/>
    </xf>
    <xf numFmtId="10" fontId="48" fillId="0" borderId="144" xfId="0" applyNumberFormat="1" applyFont="1" applyFill="1" applyBorder="1" applyAlignment="1">
      <alignment vertical="center"/>
    </xf>
    <xf numFmtId="0" fontId="48" fillId="0" borderId="145" xfId="0" applyFont="1" applyFill="1" applyBorder="1" applyAlignment="1">
      <alignment vertical="center"/>
    </xf>
    <xf numFmtId="0" fontId="48" fillId="0" borderId="138" xfId="0" applyFont="1" applyFill="1" applyBorder="1" applyAlignment="1">
      <alignment horizontal="left" vertical="center" wrapText="1"/>
    </xf>
    <xf numFmtId="9" fontId="48" fillId="0" borderId="138" xfId="15" applyFont="1" applyFill="1" applyBorder="1" applyAlignment="1">
      <alignment horizontal="center" vertical="center" wrapText="1"/>
    </xf>
    <xf numFmtId="0" fontId="48" fillId="0" borderId="138" xfId="0" applyFont="1" applyFill="1" applyBorder="1" applyAlignment="1">
      <alignment vertical="center"/>
    </xf>
    <xf numFmtId="9" fontId="48" fillId="0" borderId="138" xfId="15" applyFont="1" applyFill="1" applyBorder="1" applyAlignment="1">
      <alignment vertical="center"/>
    </xf>
    <xf numFmtId="10" fontId="48" fillId="0" borderId="146" xfId="0" applyNumberFormat="1" applyFont="1" applyFill="1" applyBorder="1" applyAlignment="1">
      <alignment vertical="center"/>
    </xf>
    <xf numFmtId="9" fontId="120" fillId="0" borderId="21" xfId="0" applyNumberFormat="1" applyFont="1" applyBorder="1" applyAlignment="1">
      <alignment horizontal="center" vertical="center"/>
    </xf>
    <xf numFmtId="9" fontId="0" fillId="0" borderId="0" xfId="0" applyNumberFormat="1"/>
    <xf numFmtId="0" fontId="121" fillId="0" borderId="21" xfId="0" applyFont="1" applyBorder="1" applyAlignment="1">
      <alignment horizontal="left"/>
    </xf>
    <xf numFmtId="9" fontId="122" fillId="0" borderId="21" xfId="0" applyNumberFormat="1" applyFont="1" applyBorder="1" applyAlignment="1">
      <alignment horizontal="center" vertical="center"/>
    </xf>
    <xf numFmtId="0" fontId="1" fillId="0" borderId="7" xfId="0" applyFont="1" applyBorder="1" applyAlignment="1">
      <alignment horizontal="left"/>
    </xf>
    <xf numFmtId="9" fontId="120" fillId="0" borderId="7" xfId="0" applyNumberFormat="1" applyFont="1" applyBorder="1" applyAlignment="1">
      <alignment horizontal="center" vertical="center"/>
    </xf>
    <xf numFmtId="0" fontId="121" fillId="0" borderId="21" xfId="0" applyFont="1" applyFill="1" applyBorder="1" applyAlignment="1">
      <alignment vertical="center"/>
    </xf>
    <xf numFmtId="0" fontId="116" fillId="0" borderId="7" xfId="0" applyFont="1" applyBorder="1"/>
    <xf numFmtId="0" fontId="116" fillId="0" borderId="21" xfId="0" applyFont="1" applyBorder="1"/>
    <xf numFmtId="0" fontId="123" fillId="0" borderId="0" xfId="0" applyFont="1"/>
    <xf numFmtId="0" fontId="4" fillId="13" borderId="0" xfId="0" applyFont="1" applyFill="1" applyBorder="1" applyAlignment="1" applyProtection="1">
      <alignment horizontal="center" vertical="center"/>
    </xf>
    <xf numFmtId="172" fontId="4" fillId="13" borderId="0" xfId="15" applyNumberFormat="1" applyFont="1" applyFill="1" applyBorder="1" applyAlignment="1" applyProtection="1">
      <alignment vertical="center"/>
    </xf>
    <xf numFmtId="173" fontId="4" fillId="13" borderId="0" xfId="0" applyNumberFormat="1" applyFont="1" applyFill="1" applyBorder="1" applyAlignment="1" applyProtection="1">
      <alignment horizontal="left" vertical="center"/>
    </xf>
    <xf numFmtId="166" fontId="4" fillId="13" borderId="10" xfId="0" applyNumberFormat="1" applyFont="1" applyFill="1" applyBorder="1" applyAlignment="1" applyProtection="1">
      <alignment vertical="center"/>
    </xf>
    <xf numFmtId="166" fontId="4" fillId="13" borderId="0" xfId="0" applyNumberFormat="1" applyFont="1" applyFill="1" applyBorder="1" applyAlignment="1" applyProtection="1">
      <alignment horizontal="center" vertical="center"/>
    </xf>
    <xf numFmtId="173" fontId="4" fillId="13" borderId="0" xfId="0" applyNumberFormat="1" applyFont="1" applyFill="1" applyBorder="1" applyAlignment="1" applyProtection="1">
      <alignment vertical="center"/>
    </xf>
    <xf numFmtId="166" fontId="4" fillId="13" borderId="0" xfId="0" applyNumberFormat="1" applyFont="1" applyFill="1" applyBorder="1" applyAlignment="1" applyProtection="1">
      <alignment vertical="center"/>
    </xf>
    <xf numFmtId="9" fontId="5" fillId="13" borderId="4" xfId="0" applyNumberFormat="1" applyFont="1" applyFill="1" applyBorder="1" applyAlignment="1" applyProtection="1">
      <alignment vertical="center"/>
    </xf>
    <xf numFmtId="0" fontId="5" fillId="13" borderId="0" xfId="0" applyFont="1" applyFill="1" applyBorder="1" applyAlignment="1" applyProtection="1">
      <alignment vertical="center"/>
    </xf>
    <xf numFmtId="0" fontId="4" fillId="13" borderId="0" xfId="0" applyFont="1" applyFill="1" applyBorder="1" applyAlignment="1" applyProtection="1">
      <alignment vertical="center"/>
    </xf>
    <xf numFmtId="2" fontId="5" fillId="13" borderId="0" xfId="0" applyNumberFormat="1" applyFont="1" applyFill="1" applyBorder="1" applyAlignment="1" applyProtection="1">
      <alignment vertical="center"/>
    </xf>
    <xf numFmtId="0" fontId="5" fillId="13" borderId="0" xfId="0" applyFont="1" applyFill="1" applyBorder="1" applyAlignment="1" applyProtection="1">
      <alignment horizontal="center" vertical="center"/>
    </xf>
    <xf numFmtId="172" fontId="5" fillId="13" borderId="0" xfId="15" applyNumberFormat="1" applyFont="1" applyFill="1" applyBorder="1" applyAlignment="1" applyProtection="1">
      <alignment vertical="center"/>
    </xf>
    <xf numFmtId="173" fontId="5" fillId="13" borderId="0" xfId="0" applyNumberFormat="1" applyFont="1" applyFill="1" applyBorder="1" applyAlignment="1" applyProtection="1">
      <alignment vertical="center"/>
    </xf>
    <xf numFmtId="166" fontId="5" fillId="13" borderId="0" xfId="0" applyNumberFormat="1" applyFont="1" applyFill="1" applyBorder="1" applyAlignment="1" applyProtection="1">
      <alignment vertical="center"/>
    </xf>
    <xf numFmtId="166" fontId="5" fillId="13" borderId="0" xfId="0" applyNumberFormat="1" applyFont="1" applyFill="1" applyBorder="1" applyAlignment="1" applyProtection="1">
      <alignment horizontal="center" vertical="center"/>
    </xf>
    <xf numFmtId="9" fontId="4" fillId="13" borderId="0" xfId="15" applyFont="1" applyFill="1" applyBorder="1" applyAlignment="1" applyProtection="1">
      <alignment vertical="center"/>
    </xf>
    <xf numFmtId="0" fontId="12" fillId="13" borderId="0" xfId="0" applyFont="1" applyFill="1" applyBorder="1" applyAlignment="1" applyProtection="1">
      <alignment vertical="center" wrapText="1"/>
    </xf>
    <xf numFmtId="0" fontId="14" fillId="13" borderId="4" xfId="0" applyFont="1" applyFill="1" applyBorder="1" applyAlignment="1" applyProtection="1">
      <alignment horizontal="left" vertical="center" wrapText="1"/>
    </xf>
    <xf numFmtId="0" fontId="14" fillId="13" borderId="0" xfId="0" applyFont="1" applyFill="1" applyBorder="1" applyAlignment="1" applyProtection="1">
      <alignment horizontal="left" vertical="center"/>
    </xf>
    <xf numFmtId="166" fontId="5" fillId="13" borderId="0" xfId="1" applyNumberFormat="1" applyFont="1" applyFill="1" applyBorder="1" applyAlignment="1" applyProtection="1">
      <alignment vertical="center"/>
    </xf>
    <xf numFmtId="0" fontId="5" fillId="13" borderId="4" xfId="0" applyFont="1" applyFill="1" applyBorder="1" applyAlignment="1" applyProtection="1">
      <alignment vertical="center"/>
    </xf>
    <xf numFmtId="0" fontId="4" fillId="13" borderId="0" xfId="0" applyFont="1" applyFill="1" applyBorder="1" applyAlignment="1" applyProtection="1">
      <alignment horizontal="left" vertical="center"/>
    </xf>
    <xf numFmtId="0" fontId="4" fillId="13" borderId="9" xfId="0" applyFont="1" applyFill="1" applyBorder="1" applyAlignment="1" applyProtection="1">
      <alignment vertical="center"/>
    </xf>
    <xf numFmtId="0" fontId="5" fillId="13" borderId="10" xfId="0" applyFont="1" applyFill="1" applyBorder="1" applyAlignment="1" applyProtection="1">
      <alignment vertical="center"/>
    </xf>
    <xf numFmtId="173" fontId="5" fillId="13" borderId="10" xfId="0" applyNumberFormat="1" applyFont="1" applyFill="1" applyBorder="1" applyAlignment="1" applyProtection="1">
      <alignment vertical="center"/>
    </xf>
    <xf numFmtId="0" fontId="12" fillId="13" borderId="10" xfId="0" applyFont="1" applyFill="1" applyBorder="1" applyAlignment="1" applyProtection="1">
      <alignment vertical="center"/>
    </xf>
    <xf numFmtId="0" fontId="5" fillId="13" borderId="67" xfId="0" applyFont="1" applyFill="1" applyBorder="1" applyAlignment="1" applyProtection="1">
      <alignment vertical="center"/>
    </xf>
    <xf numFmtId="0" fontId="5" fillId="13" borderId="68" xfId="0" applyFont="1" applyFill="1" applyBorder="1" applyAlignment="1" applyProtection="1">
      <alignment vertical="center"/>
    </xf>
    <xf numFmtId="0" fontId="4" fillId="13" borderId="68" xfId="0" applyFont="1" applyFill="1" applyBorder="1" applyAlignment="1" applyProtection="1">
      <alignment vertical="center"/>
    </xf>
    <xf numFmtId="9" fontId="4" fillId="13" borderId="68" xfId="15" applyFont="1" applyFill="1" applyBorder="1" applyAlignment="1" applyProtection="1">
      <alignment vertical="center"/>
    </xf>
    <xf numFmtId="0" fontId="4" fillId="13" borderId="68" xfId="0" applyFont="1" applyFill="1" applyBorder="1" applyAlignment="1" applyProtection="1">
      <alignment horizontal="center" vertical="center"/>
    </xf>
    <xf numFmtId="173" fontId="4" fillId="13" borderId="68" xfId="0" applyNumberFormat="1" applyFont="1" applyFill="1" applyBorder="1" applyAlignment="1" applyProtection="1">
      <alignment horizontal="left" vertical="center"/>
    </xf>
    <xf numFmtId="0" fontId="6" fillId="13" borderId="4" xfId="0" applyFont="1" applyFill="1" applyBorder="1" applyAlignment="1" applyProtection="1">
      <alignment vertical="center"/>
    </xf>
    <xf numFmtId="9" fontId="5" fillId="13" borderId="0" xfId="15" applyFont="1" applyFill="1" applyBorder="1" applyAlignment="1" applyProtection="1">
      <alignment vertical="center"/>
    </xf>
    <xf numFmtId="173" fontId="4" fillId="13" borderId="0" xfId="0" applyNumberFormat="1" applyFont="1" applyFill="1" applyBorder="1" applyAlignment="1" applyProtection="1">
      <alignment horizontal="center" vertical="center"/>
    </xf>
    <xf numFmtId="173" fontId="4" fillId="13" borderId="0" xfId="0" applyNumberFormat="1" applyFont="1" applyFill="1" applyBorder="1" applyAlignment="1" applyProtection="1">
      <alignment horizontal="right" vertical="center"/>
    </xf>
    <xf numFmtId="0" fontId="6" fillId="13" borderId="12" xfId="0" applyFont="1" applyFill="1" applyBorder="1" applyAlignment="1" applyProtection="1">
      <alignment vertical="center"/>
    </xf>
    <xf numFmtId="0" fontId="5" fillId="13" borderId="2" xfId="0" applyFont="1" applyFill="1" applyBorder="1" applyAlignment="1" applyProtection="1">
      <alignment vertical="center"/>
    </xf>
    <xf numFmtId="0" fontId="4" fillId="13" borderId="2" xfId="0" applyFont="1" applyFill="1" applyBorder="1" applyAlignment="1" applyProtection="1">
      <alignment vertical="center"/>
    </xf>
    <xf numFmtId="9" fontId="5" fillId="13" borderId="2" xfId="15" applyFont="1" applyFill="1" applyBorder="1" applyAlignment="1" applyProtection="1">
      <alignment vertical="center"/>
    </xf>
    <xf numFmtId="0" fontId="4" fillId="13" borderId="2" xfId="0" applyFont="1" applyFill="1" applyBorder="1" applyAlignment="1" applyProtection="1">
      <alignment horizontal="center" vertical="center"/>
    </xf>
    <xf numFmtId="9" fontId="4" fillId="13" borderId="2" xfId="15" applyFont="1" applyFill="1" applyBorder="1" applyAlignment="1" applyProtection="1">
      <alignment vertical="center"/>
    </xf>
    <xf numFmtId="173" fontId="4" fillId="13" borderId="2" xfId="0" applyNumberFormat="1" applyFont="1" applyFill="1" applyBorder="1" applyAlignment="1" applyProtection="1">
      <alignment horizontal="center" vertical="center"/>
    </xf>
    <xf numFmtId="0" fontId="4" fillId="13" borderId="11" xfId="0" applyFont="1" applyFill="1" applyBorder="1" applyAlignment="1" applyProtection="1">
      <alignment vertical="center"/>
    </xf>
    <xf numFmtId="0" fontId="5" fillId="13" borderId="5" xfId="0" applyFont="1" applyFill="1" applyBorder="1" applyAlignment="1" applyProtection="1">
      <alignment vertical="center"/>
    </xf>
    <xf numFmtId="173" fontId="29" fillId="13" borderId="5" xfId="0" applyNumberFormat="1" applyFont="1" applyFill="1" applyBorder="1" applyAlignment="1" applyProtection="1">
      <alignment horizontal="left" vertical="center"/>
    </xf>
    <xf numFmtId="0" fontId="12" fillId="13" borderId="20" xfId="0" applyFont="1" applyFill="1" applyBorder="1" applyAlignment="1" applyProtection="1">
      <alignment vertical="center"/>
    </xf>
    <xf numFmtId="173" fontId="29" fillId="13" borderId="5" xfId="0" applyNumberFormat="1" applyFont="1" applyFill="1" applyBorder="1" applyAlignment="1" applyProtection="1">
      <alignment vertical="center"/>
    </xf>
    <xf numFmtId="173" fontId="5" fillId="13" borderId="5" xfId="0" applyNumberFormat="1" applyFont="1" applyFill="1" applyBorder="1" applyAlignment="1" applyProtection="1">
      <alignment vertical="center"/>
    </xf>
    <xf numFmtId="0" fontId="12" fillId="13" borderId="5" xfId="0" applyFont="1" applyFill="1" applyBorder="1" applyAlignment="1" applyProtection="1">
      <alignment vertical="center"/>
    </xf>
    <xf numFmtId="0" fontId="45" fillId="13" borderId="4" xfId="0" applyFont="1" applyFill="1" applyBorder="1" applyAlignment="1" applyProtection="1">
      <alignment vertical="center"/>
    </xf>
    <xf numFmtId="166" fontId="4" fillId="13" borderId="10" xfId="15" applyNumberFormat="1" applyFont="1" applyFill="1" applyBorder="1" applyAlignment="1" applyProtection="1">
      <alignment vertical="center"/>
    </xf>
    <xf numFmtId="9" fontId="4" fillId="13" borderId="4" xfId="0" applyNumberFormat="1" applyFont="1" applyFill="1" applyBorder="1" applyAlignment="1" applyProtection="1">
      <alignment vertical="center"/>
    </xf>
    <xf numFmtId="0" fontId="5" fillId="13" borderId="10" xfId="0" applyFont="1" applyFill="1" applyBorder="1" applyAlignment="1" applyProtection="1">
      <alignment horizontal="center" vertical="center"/>
    </xf>
    <xf numFmtId="0" fontId="4" fillId="13" borderId="10" xfId="0" applyFont="1" applyFill="1" applyBorder="1" applyAlignment="1" applyProtection="1">
      <alignment vertical="center"/>
    </xf>
    <xf numFmtId="9" fontId="5" fillId="13" borderId="10" xfId="15" applyFont="1" applyFill="1" applyBorder="1" applyAlignment="1" applyProtection="1">
      <alignment vertical="center"/>
    </xf>
    <xf numFmtId="166" fontId="5" fillId="13" borderId="10" xfId="0" applyNumberFormat="1" applyFont="1" applyFill="1" applyBorder="1" applyAlignment="1" applyProtection="1">
      <alignment horizontal="center" vertical="center"/>
    </xf>
    <xf numFmtId="0" fontId="12" fillId="13" borderId="12" xfId="0" applyFont="1" applyFill="1" applyBorder="1" applyAlignment="1" applyProtection="1">
      <alignment vertical="center"/>
    </xf>
    <xf numFmtId="0" fontId="12" fillId="13" borderId="2" xfId="0" applyFont="1" applyFill="1" applyBorder="1" applyAlignment="1" applyProtection="1">
      <alignment vertical="center"/>
    </xf>
    <xf numFmtId="0" fontId="7" fillId="13" borderId="4" xfId="0" applyFont="1" applyFill="1" applyBorder="1" applyAlignment="1" applyProtection="1">
      <alignment vertical="center"/>
    </xf>
    <xf numFmtId="0" fontId="5" fillId="13" borderId="12" xfId="0" applyFont="1" applyFill="1" applyBorder="1" applyAlignment="1" applyProtection="1">
      <alignment vertical="center"/>
    </xf>
    <xf numFmtId="0" fontId="4" fillId="13" borderId="2" xfId="0" applyFont="1" applyFill="1" applyBorder="1" applyAlignment="1" applyProtection="1">
      <alignment horizontal="left" vertical="center"/>
    </xf>
    <xf numFmtId="9" fontId="4" fillId="13" borderId="2" xfId="0" applyNumberFormat="1" applyFont="1" applyFill="1" applyBorder="1" applyAlignment="1" applyProtection="1">
      <alignment vertical="center"/>
    </xf>
    <xf numFmtId="0" fontId="5" fillId="13" borderId="2" xfId="0" applyFont="1" applyFill="1" applyBorder="1" applyAlignment="1" applyProtection="1">
      <alignment horizontal="left" vertical="center"/>
    </xf>
    <xf numFmtId="0" fontId="29" fillId="13" borderId="2" xfId="0" applyFont="1" applyFill="1" applyBorder="1" applyAlignment="1" applyProtection="1">
      <alignment vertical="center"/>
    </xf>
    <xf numFmtId="0" fontId="20" fillId="13" borderId="2" xfId="0" applyFont="1" applyFill="1" applyBorder="1" applyAlignment="1" applyProtection="1">
      <alignment vertical="center"/>
    </xf>
    <xf numFmtId="173" fontId="20" fillId="13" borderId="2" xfId="0" applyNumberFormat="1" applyFont="1" applyFill="1" applyBorder="1" applyAlignment="1" applyProtection="1">
      <alignment vertical="center"/>
    </xf>
    <xf numFmtId="0" fontId="35" fillId="13" borderId="19" xfId="0" applyFont="1" applyFill="1" applyBorder="1" applyAlignment="1" applyProtection="1">
      <alignment vertical="center"/>
    </xf>
    <xf numFmtId="0" fontId="5" fillId="13" borderId="20" xfId="0" applyFont="1" applyFill="1" applyBorder="1" applyAlignment="1" applyProtection="1">
      <alignment vertical="center"/>
    </xf>
    <xf numFmtId="0" fontId="35" fillId="13" borderId="20" xfId="0" applyFont="1" applyFill="1" applyBorder="1" applyAlignment="1" applyProtection="1">
      <alignment vertical="center"/>
    </xf>
    <xf numFmtId="0" fontId="12" fillId="13" borderId="72" xfId="0" applyFont="1" applyFill="1" applyBorder="1" applyAlignment="1" applyProtection="1">
      <alignment vertical="center"/>
    </xf>
    <xf numFmtId="0" fontId="5" fillId="13" borderId="65" xfId="0" applyFont="1" applyFill="1" applyBorder="1" applyAlignment="1" applyProtection="1">
      <alignment vertical="center"/>
    </xf>
    <xf numFmtId="0" fontId="35" fillId="13" borderId="65" xfId="0" applyFont="1" applyFill="1" applyBorder="1" applyAlignment="1" applyProtection="1">
      <alignment vertical="center"/>
    </xf>
    <xf numFmtId="0" fontId="12" fillId="13" borderId="65" xfId="0" applyFont="1" applyFill="1" applyBorder="1" applyAlignment="1" applyProtection="1">
      <alignment vertical="center"/>
    </xf>
    <xf numFmtId="0" fontId="5" fillId="13" borderId="18" xfId="0" applyFont="1" applyFill="1" applyBorder="1" applyAlignment="1" applyProtection="1">
      <alignment vertical="center"/>
    </xf>
    <xf numFmtId="170" fontId="6" fillId="13" borderId="0" xfId="0" applyNumberFormat="1" applyFont="1" applyFill="1" applyBorder="1" applyAlignment="1" applyProtection="1">
      <alignment vertical="center"/>
    </xf>
    <xf numFmtId="0" fontId="6" fillId="13" borderId="0" xfId="0" applyFont="1" applyFill="1" applyBorder="1" applyAlignment="1" applyProtection="1">
      <alignment vertical="center"/>
    </xf>
    <xf numFmtId="170" fontId="5" fillId="13" borderId="0" xfId="0" applyNumberFormat="1" applyFont="1" applyFill="1" applyBorder="1" applyAlignment="1" applyProtection="1">
      <alignment vertical="center"/>
    </xf>
    <xf numFmtId="0" fontId="6" fillId="13" borderId="14" xfId="0" applyFont="1" applyFill="1" applyBorder="1" applyAlignment="1" applyProtection="1">
      <alignment vertical="center"/>
    </xf>
    <xf numFmtId="0" fontId="5" fillId="13" borderId="13" xfId="0" applyFont="1" applyFill="1" applyBorder="1" applyAlignment="1" applyProtection="1">
      <alignment vertical="center"/>
    </xf>
    <xf numFmtId="170" fontId="5" fillId="13" borderId="8" xfId="0" applyNumberFormat="1" applyFont="1" applyFill="1" applyBorder="1" applyAlignment="1" applyProtection="1">
      <alignment vertical="center"/>
    </xf>
    <xf numFmtId="0" fontId="5" fillId="13" borderId="0" xfId="0" applyFont="1" applyFill="1" applyBorder="1" applyAlignment="1" applyProtection="1">
      <alignment horizontal="right" vertical="center"/>
    </xf>
    <xf numFmtId="172" fontId="4" fillId="13" borderId="0" xfId="0" applyNumberFormat="1" applyFont="1" applyFill="1" applyBorder="1" applyAlignment="1" applyProtection="1">
      <alignment horizontal="center" vertical="center"/>
    </xf>
    <xf numFmtId="0" fontId="14" fillId="0" borderId="0" xfId="0" applyFont="1" applyBorder="1" applyAlignment="1">
      <alignment horizontal="right" vertical="center"/>
    </xf>
    <xf numFmtId="0" fontId="12" fillId="0" borderId="0" xfId="0" applyFont="1" applyBorder="1" applyAlignment="1">
      <alignment horizontal="right" vertical="center"/>
    </xf>
    <xf numFmtId="0" fontId="124" fillId="14" borderId="11" xfId="0" applyFont="1" applyFill="1" applyBorder="1" applyAlignment="1" applyProtection="1">
      <alignment horizontal="center" vertical="center" wrapText="1"/>
    </xf>
    <xf numFmtId="164" fontId="14" fillId="5" borderId="8" xfId="0" applyNumberFormat="1" applyFont="1" applyFill="1" applyBorder="1" applyAlignment="1" applyProtection="1">
      <alignment vertical="center"/>
    </xf>
    <xf numFmtId="0" fontId="14" fillId="0" borderId="225" xfId="0" applyFont="1" applyBorder="1" applyAlignment="1">
      <alignment horizontal="right" vertical="center"/>
    </xf>
    <xf numFmtId="0" fontId="12" fillId="0" borderId="226" xfId="0" applyFont="1" applyBorder="1" applyAlignment="1">
      <alignment horizontal="right" vertical="center"/>
    </xf>
    <xf numFmtId="0" fontId="14" fillId="0" borderId="227" xfId="0" applyFont="1" applyBorder="1" applyAlignment="1">
      <alignment horizontal="right" vertical="center"/>
    </xf>
    <xf numFmtId="0" fontId="25" fillId="3" borderId="69" xfId="0" applyFont="1" applyFill="1" applyBorder="1" applyAlignment="1" applyProtection="1">
      <alignment horizontal="center" vertical="center"/>
      <protection locked="0"/>
    </xf>
    <xf numFmtId="0" fontId="14" fillId="0" borderId="59" xfId="0" applyFont="1" applyFill="1" applyBorder="1" applyAlignment="1" applyProtection="1">
      <alignment vertical="center"/>
    </xf>
    <xf numFmtId="0" fontId="107" fillId="14" borderId="15" xfId="0" applyFont="1" applyFill="1" applyBorder="1" applyAlignment="1">
      <alignment horizontal="right" vertical="center"/>
    </xf>
    <xf numFmtId="0" fontId="125" fillId="14" borderId="15" xfId="0" applyFont="1" applyFill="1" applyBorder="1" applyAlignment="1">
      <alignment horizontal="center" vertical="center"/>
    </xf>
    <xf numFmtId="9" fontId="125" fillId="14" borderId="43" xfId="15" applyFont="1" applyFill="1" applyBorder="1" applyAlignment="1">
      <alignment horizontal="center" vertical="center"/>
    </xf>
    <xf numFmtId="2" fontId="5" fillId="14" borderId="147" xfId="0" applyNumberFormat="1" applyFont="1" applyFill="1" applyBorder="1" applyAlignment="1" applyProtection="1">
      <alignment vertical="center"/>
    </xf>
    <xf numFmtId="2" fontId="5" fillId="14" borderId="7" xfId="0" applyNumberFormat="1" applyFont="1" applyFill="1" applyBorder="1" applyAlignment="1" applyProtection="1">
      <alignment vertical="center"/>
    </xf>
    <xf numFmtId="0" fontId="1" fillId="0" borderId="15" xfId="0" applyFont="1" applyBorder="1" applyProtection="1">
      <protection locked="0"/>
    </xf>
    <xf numFmtId="0" fontId="16" fillId="0" borderId="15" xfId="0" applyFont="1" applyBorder="1" applyProtection="1">
      <protection locked="0"/>
    </xf>
    <xf numFmtId="0" fontId="7" fillId="0" borderId="15" xfId="0" applyFont="1" applyBorder="1" applyProtection="1">
      <protection locked="0"/>
    </xf>
    <xf numFmtId="0" fontId="1" fillId="0" borderId="43" xfId="0" applyFont="1" applyBorder="1" applyProtection="1">
      <protection locked="0"/>
    </xf>
    <xf numFmtId="0" fontId="1" fillId="0" borderId="17"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1" fillId="0" borderId="8" xfId="0" applyFont="1" applyBorder="1" applyProtection="1">
      <protection locked="0"/>
    </xf>
    <xf numFmtId="0" fontId="7" fillId="0" borderId="0" xfId="0" applyFont="1" applyProtection="1">
      <protection locked="0"/>
    </xf>
    <xf numFmtId="0" fontId="7" fillId="0" borderId="0" xfId="0" applyFont="1" applyAlignment="1" applyProtection="1">
      <alignment horizontal="center"/>
      <protection locked="0"/>
    </xf>
    <xf numFmtId="188" fontId="1" fillId="0" borderId="91" xfId="0" applyNumberFormat="1" applyFont="1" applyBorder="1" applyAlignment="1" applyProtection="1">
      <alignment horizontal="center"/>
      <protection locked="0"/>
    </xf>
    <xf numFmtId="0" fontId="7" fillId="0" borderId="0" xfId="0" applyFont="1" applyAlignment="1" applyProtection="1">
      <protection locked="0"/>
    </xf>
    <xf numFmtId="0" fontId="1" fillId="0" borderId="188"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7" fillId="0" borderId="0" xfId="0" applyFont="1" applyBorder="1" applyProtection="1">
      <protection locked="0"/>
    </xf>
    <xf numFmtId="0" fontId="1" fillId="0" borderId="91" xfId="0" applyFont="1" applyBorder="1" applyProtection="1">
      <protection locked="0"/>
    </xf>
    <xf numFmtId="0" fontId="1" fillId="0" borderId="91" xfId="0" applyFont="1" applyBorder="1" applyAlignment="1" applyProtection="1">
      <alignment horizontal="right"/>
      <protection locked="0"/>
    </xf>
    <xf numFmtId="0" fontId="1" fillId="0" borderId="0" xfId="0" applyFont="1" applyAlignment="1" applyProtection="1">
      <alignment horizontal="right"/>
      <protection locked="0"/>
    </xf>
    <xf numFmtId="0" fontId="7" fillId="0" borderId="28" xfId="0" applyFont="1" applyBorder="1" applyProtection="1">
      <protection locked="0"/>
    </xf>
    <xf numFmtId="0" fontId="1" fillId="0" borderId="28" xfId="0" applyFont="1" applyBorder="1" applyProtection="1">
      <protection locked="0"/>
    </xf>
    <xf numFmtId="0" fontId="1" fillId="0" borderId="16" xfId="0" applyFont="1" applyBorder="1" applyAlignment="1" applyProtection="1">
      <protection locked="0"/>
    </xf>
    <xf numFmtId="0" fontId="7" fillId="0" borderId="35" xfId="0" applyFont="1" applyBorder="1" applyProtection="1">
      <protection locked="0"/>
    </xf>
    <xf numFmtId="0" fontId="1" fillId="0" borderId="26" xfId="0" applyFont="1" applyBorder="1" applyAlignment="1" applyProtection="1">
      <alignment horizontal="center"/>
      <protection locked="0"/>
    </xf>
    <xf numFmtId="0" fontId="1" fillId="0" borderId="16" xfId="0" applyFont="1" applyBorder="1" applyProtection="1">
      <protection locked="0"/>
    </xf>
    <xf numFmtId="0" fontId="1" fillId="0" borderId="28"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70" xfId="0" applyFont="1" applyBorder="1" applyAlignment="1" applyProtection="1">
      <alignment horizontal="center"/>
      <protection locked="0"/>
    </xf>
    <xf numFmtId="0" fontId="1" fillId="0" borderId="16" xfId="0" applyFont="1" applyBorder="1" applyAlignment="1" applyProtection="1">
      <alignment horizontal="centerContinuous"/>
      <protection locked="0"/>
    </xf>
    <xf numFmtId="0" fontId="1" fillId="0" borderId="13" xfId="0" applyFont="1" applyBorder="1" applyAlignment="1" applyProtection="1">
      <protection locked="0"/>
    </xf>
    <xf numFmtId="0" fontId="7" fillId="0" borderId="16" xfId="0" applyFont="1" applyBorder="1" applyAlignment="1" applyProtection="1">
      <protection locked="0"/>
    </xf>
    <xf numFmtId="0" fontId="7" fillId="0" borderId="13" xfId="0" applyFont="1" applyBorder="1" applyAlignment="1" applyProtection="1">
      <alignment horizontal="centerContinuous"/>
      <protection locked="0"/>
    </xf>
    <xf numFmtId="0" fontId="7" fillId="0" borderId="16" xfId="0" applyFont="1" applyBorder="1" applyAlignment="1" applyProtection="1">
      <alignment horizontal="centerContinuous"/>
      <protection locked="0"/>
    </xf>
    <xf numFmtId="0" fontId="1" fillId="0" borderId="13" xfId="0" applyFont="1" applyBorder="1" applyAlignment="1" applyProtection="1">
      <alignment horizontal="centerContinuous"/>
      <protection locked="0"/>
    </xf>
    <xf numFmtId="0" fontId="1" fillId="0" borderId="18" xfId="0" applyFont="1" applyBorder="1" applyProtection="1">
      <protection locked="0"/>
    </xf>
    <xf numFmtId="0" fontId="1" fillId="0" borderId="38"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74" xfId="0" applyFont="1" applyBorder="1" applyAlignment="1" applyProtection="1">
      <alignment horizontal="center"/>
      <protection locked="0"/>
    </xf>
    <xf numFmtId="0" fontId="1" fillId="0" borderId="32" xfId="0" applyFont="1" applyBorder="1" applyAlignment="1" applyProtection="1">
      <protection locked="0"/>
    </xf>
    <xf numFmtId="0" fontId="1" fillId="0" borderId="10" xfId="0" applyFont="1" applyBorder="1" applyAlignment="1" applyProtection="1">
      <alignment horizontal="centerContinuous"/>
      <protection locked="0"/>
    </xf>
    <xf numFmtId="0" fontId="1" fillId="0" borderId="32" xfId="0" applyFont="1" applyBorder="1" applyAlignment="1" applyProtection="1">
      <alignment horizontal="centerContinuous"/>
      <protection locked="0"/>
    </xf>
    <xf numFmtId="0" fontId="1" fillId="0" borderId="10"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71" xfId="0" applyFont="1" applyBorder="1" applyAlignment="1" applyProtection="1">
      <alignment horizontal="center"/>
      <protection locked="0"/>
    </xf>
    <xf numFmtId="0" fontId="1" fillId="0" borderId="196" xfId="0" quotePrefix="1" applyFont="1" applyBorder="1" applyProtection="1">
      <protection locked="0"/>
    </xf>
    <xf numFmtId="0" fontId="1" fillId="0" borderId="96" xfId="0" applyFont="1" applyBorder="1" applyProtection="1">
      <protection locked="0"/>
    </xf>
    <xf numFmtId="0" fontId="1" fillId="0" borderId="196" xfId="0" applyFont="1" applyBorder="1" applyProtection="1">
      <protection locked="0"/>
    </xf>
    <xf numFmtId="0" fontId="1" fillId="0" borderId="197" xfId="0" applyFont="1" applyBorder="1" applyProtection="1">
      <protection locked="0"/>
    </xf>
    <xf numFmtId="189" fontId="1" fillId="0" borderId="196" xfId="0" applyNumberFormat="1" applyFont="1" applyBorder="1" applyAlignment="1" applyProtection="1">
      <alignment horizontal="center"/>
      <protection locked="0"/>
    </xf>
    <xf numFmtId="189" fontId="1" fillId="0" borderId="170" xfId="0" quotePrefix="1" applyNumberFormat="1" applyFont="1" applyBorder="1" applyAlignment="1" applyProtection="1">
      <alignment horizontal="center"/>
      <protection locked="0"/>
    </xf>
    <xf numFmtId="189" fontId="1" fillId="0" borderId="96" xfId="0" applyNumberFormat="1" applyFont="1" applyBorder="1" applyAlignment="1" applyProtection="1">
      <alignment horizontal="center"/>
      <protection locked="0"/>
    </xf>
    <xf numFmtId="189" fontId="1" fillId="0" borderId="170" xfId="0" applyNumberFormat="1" applyFont="1" applyBorder="1" applyAlignment="1" applyProtection="1">
      <alignment horizontal="center"/>
      <protection locked="0"/>
    </xf>
    <xf numFmtId="0" fontId="1" fillId="0" borderId="174" xfId="0" quotePrefix="1" applyFont="1" applyBorder="1" applyAlignment="1" applyProtection="1">
      <alignment horizontal="center"/>
      <protection locked="0"/>
    </xf>
    <xf numFmtId="0" fontId="1" fillId="0" borderId="32" xfId="0" quotePrefix="1" applyFont="1" applyBorder="1" applyProtection="1">
      <protection locked="0"/>
    </xf>
    <xf numFmtId="0" fontId="1" fillId="0" borderId="10" xfId="0" applyFont="1" applyBorder="1" applyProtection="1">
      <protection locked="0"/>
    </xf>
    <xf numFmtId="0" fontId="1" fillId="0" borderId="37" xfId="0" quotePrefix="1" applyFont="1" applyBorder="1" applyAlignment="1" applyProtection="1">
      <alignment horizontal="center"/>
      <protection locked="0"/>
    </xf>
    <xf numFmtId="0" fontId="1" fillId="0" borderId="32" xfId="0" applyFont="1" applyBorder="1" applyProtection="1">
      <protection locked="0"/>
    </xf>
    <xf numFmtId="0" fontId="1" fillId="0" borderId="37" xfId="0" applyFont="1" applyBorder="1" applyProtection="1">
      <protection locked="0"/>
    </xf>
    <xf numFmtId="189" fontId="1" fillId="0" borderId="32" xfId="0" applyNumberFormat="1" applyFont="1" applyBorder="1" applyAlignment="1" applyProtection="1">
      <alignment horizontal="center"/>
      <protection locked="0"/>
    </xf>
    <xf numFmtId="189" fontId="1" fillId="0" borderId="32" xfId="0" quotePrefix="1" applyNumberFormat="1" applyFont="1" applyBorder="1" applyAlignment="1" applyProtection="1">
      <alignment horizontal="center"/>
      <protection locked="0"/>
    </xf>
    <xf numFmtId="189" fontId="1" fillId="0" borderId="7" xfId="0" applyNumberFormat="1" applyFont="1" applyBorder="1" applyAlignment="1" applyProtection="1">
      <alignment horizontal="center"/>
      <protection locked="0"/>
    </xf>
    <xf numFmtId="0" fontId="1" fillId="0" borderId="71" xfId="0" quotePrefix="1" applyFont="1" applyBorder="1" applyAlignment="1" applyProtection="1">
      <alignment horizontal="center"/>
      <protection locked="0"/>
    </xf>
    <xf numFmtId="0" fontId="1" fillId="0" borderId="0" xfId="0" quotePrefix="1" applyFont="1" applyBorder="1" applyProtection="1">
      <protection locked="0"/>
    </xf>
    <xf numFmtId="0" fontId="1" fillId="0" borderId="0" xfId="0" applyFont="1" applyBorder="1" applyAlignment="1" applyProtection="1">
      <alignment horizontal="right"/>
      <protection locked="0"/>
    </xf>
    <xf numFmtId="0" fontId="7" fillId="0" borderId="198" xfId="0" applyFont="1" applyBorder="1" applyAlignment="1" applyProtection="1">
      <alignment horizontal="center"/>
      <protection locked="0"/>
    </xf>
    <xf numFmtId="0" fontId="7" fillId="0" borderId="0" xfId="0" applyFont="1" applyBorder="1" applyAlignment="1" applyProtection="1">
      <alignment horizontal="center"/>
      <protection locked="0"/>
    </xf>
    <xf numFmtId="189" fontId="7" fillId="0" borderId="199" xfId="0" applyNumberFormat="1" applyFont="1" applyBorder="1" applyAlignment="1" applyProtection="1">
      <alignment horizontal="center"/>
      <protection locked="0"/>
    </xf>
    <xf numFmtId="0" fontId="1" fillId="0" borderId="0" xfId="0" quotePrefix="1" applyFont="1" applyBorder="1" applyAlignment="1" applyProtection="1">
      <alignment horizontal="center"/>
      <protection locked="0"/>
    </xf>
    <xf numFmtId="0" fontId="7" fillId="0" borderId="200" xfId="0" applyFont="1" applyBorder="1" applyProtection="1">
      <protection locked="0"/>
    </xf>
    <xf numFmtId="0" fontId="1" fillId="0" borderId="187" xfId="0" quotePrefix="1" applyFont="1" applyBorder="1" applyAlignment="1" applyProtection="1">
      <alignment horizontal="center"/>
      <protection locked="0"/>
    </xf>
    <xf numFmtId="0" fontId="1" fillId="0" borderId="201" xfId="0" applyFont="1" applyBorder="1" applyAlignment="1" applyProtection="1">
      <alignment horizontal="center"/>
      <protection locked="0"/>
    </xf>
    <xf numFmtId="0" fontId="7" fillId="0" borderId="137"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1" fillId="0" borderId="5" xfId="0" quotePrefix="1" applyFont="1" applyBorder="1" applyProtection="1">
      <protection locked="0"/>
    </xf>
    <xf numFmtId="0" fontId="1" fillId="0" borderId="5" xfId="0" applyFont="1" applyBorder="1" applyProtection="1">
      <protection locked="0"/>
    </xf>
    <xf numFmtId="0" fontId="1" fillId="0" borderId="5" xfId="0" applyFont="1" applyBorder="1" applyAlignment="1" applyProtection="1">
      <alignment horizontal="center"/>
      <protection locked="0"/>
    </xf>
    <xf numFmtId="0" fontId="1" fillId="0" borderId="5" xfId="0" quotePrefix="1" applyFont="1" applyBorder="1" applyAlignment="1" applyProtection="1">
      <alignment horizontal="center"/>
      <protection locked="0"/>
    </xf>
    <xf numFmtId="0" fontId="7" fillId="0" borderId="202" xfId="0" applyFont="1" applyBorder="1" applyProtection="1">
      <protection locked="0"/>
    </xf>
    <xf numFmtId="0" fontId="7" fillId="0" borderId="60" xfId="0" applyFont="1" applyBorder="1" applyAlignment="1" applyProtection="1">
      <alignment horizontal="center"/>
      <protection locked="0"/>
    </xf>
    <xf numFmtId="189" fontId="7" fillId="0" borderId="34" xfId="0" quotePrefix="1" applyNumberFormat="1" applyFont="1" applyBorder="1" applyAlignment="1" applyProtection="1">
      <alignment horizontal="center"/>
      <protection locked="0"/>
    </xf>
    <xf numFmtId="0" fontId="1" fillId="0" borderId="8" xfId="0" quotePrefix="1" applyFont="1" applyBorder="1" applyAlignment="1" applyProtection="1">
      <alignment horizontal="center"/>
      <protection locked="0"/>
    </xf>
    <xf numFmtId="0" fontId="1" fillId="0" borderId="44" xfId="0" quotePrefix="1" applyFont="1" applyBorder="1" applyAlignment="1" applyProtection="1">
      <alignment horizontal="center"/>
      <protection locked="0"/>
    </xf>
    <xf numFmtId="0" fontId="1" fillId="0" borderId="203" xfId="0" applyFont="1" applyBorder="1" applyProtection="1">
      <protection locked="0"/>
    </xf>
    <xf numFmtId="0" fontId="7" fillId="0" borderId="204" xfId="0" applyFont="1" applyBorder="1" applyAlignment="1" applyProtection="1">
      <alignment horizontal="center"/>
      <protection locked="0"/>
    </xf>
    <xf numFmtId="0" fontId="1" fillId="0" borderId="47" xfId="0" applyFont="1" applyBorder="1" applyProtection="1">
      <protection locked="0"/>
    </xf>
    <xf numFmtId="0" fontId="1" fillId="0" borderId="10" xfId="0" applyFont="1" applyBorder="1" applyAlignment="1" applyProtection="1">
      <protection locked="0"/>
    </xf>
    <xf numFmtId="0" fontId="7" fillId="0" borderId="32" xfId="0" applyFont="1" applyBorder="1" applyAlignment="1" applyProtection="1">
      <alignment horizontal="centerContinuous"/>
      <protection locked="0"/>
    </xf>
    <xf numFmtId="0" fontId="7" fillId="0" borderId="203" xfId="0" applyFont="1" applyBorder="1" applyProtection="1">
      <protection locked="0"/>
    </xf>
    <xf numFmtId="0" fontId="7" fillId="0" borderId="94" xfId="0" applyFont="1" applyBorder="1" applyProtection="1">
      <protection locked="0"/>
    </xf>
    <xf numFmtId="0" fontId="7" fillId="0" borderId="205" xfId="0" applyFont="1" applyBorder="1" applyAlignment="1" applyProtection="1">
      <alignment horizontal="center"/>
      <protection locked="0"/>
    </xf>
    <xf numFmtId="0" fontId="7" fillId="0" borderId="18" xfId="0" applyFont="1" applyBorder="1" applyAlignment="1" applyProtection="1">
      <protection locked="0"/>
    </xf>
    <xf numFmtId="0" fontId="7" fillId="0" borderId="8"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7" fillId="0" borderId="206"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93" xfId="0" applyFont="1" applyBorder="1" applyAlignment="1" applyProtection="1">
      <alignment horizontal="center"/>
      <protection locked="0"/>
    </xf>
    <xf numFmtId="0" fontId="1" fillId="0" borderId="208" xfId="0" quotePrefix="1" applyFont="1" applyBorder="1" applyProtection="1">
      <protection locked="0"/>
    </xf>
    <xf numFmtId="0" fontId="1" fillId="0" borderId="208" xfId="0" applyFont="1" applyBorder="1" applyAlignment="1" applyProtection="1">
      <alignment horizontal="center"/>
      <protection locked="0"/>
    </xf>
    <xf numFmtId="0" fontId="1" fillId="0" borderId="92" xfId="0" quotePrefix="1" applyFont="1" applyBorder="1" applyAlignment="1" applyProtection="1">
      <alignment horizontal="center"/>
      <protection locked="0"/>
    </xf>
    <xf numFmtId="0" fontId="1" fillId="0" borderId="209" xfId="0" applyFont="1" applyBorder="1" applyProtection="1">
      <protection locked="0"/>
    </xf>
    <xf numFmtId="0" fontId="1" fillId="0" borderId="92" xfId="0" applyFont="1" applyBorder="1" applyProtection="1">
      <protection locked="0"/>
    </xf>
    <xf numFmtId="0" fontId="1" fillId="0" borderId="208" xfId="0" quotePrefix="1" applyFont="1" applyBorder="1" applyAlignment="1" applyProtection="1">
      <alignment horizontal="center"/>
      <protection locked="0"/>
    </xf>
    <xf numFmtId="2" fontId="1" fillId="0" borderId="210" xfId="0" applyNumberFormat="1" applyFont="1" applyBorder="1" applyAlignment="1" applyProtection="1">
      <alignment horizontal="center"/>
      <protection locked="0"/>
    </xf>
    <xf numFmtId="0" fontId="1" fillId="0" borderId="91" xfId="0" applyFont="1" applyBorder="1" applyAlignment="1" applyProtection="1">
      <alignment horizontal="center"/>
      <protection locked="0"/>
    </xf>
    <xf numFmtId="189" fontId="1" fillId="0" borderId="191" xfId="0" quotePrefix="1" applyNumberFormat="1" applyFont="1" applyBorder="1" applyAlignment="1" applyProtection="1">
      <alignment horizontal="center"/>
      <protection locked="0"/>
    </xf>
    <xf numFmtId="0" fontId="1" fillId="0" borderId="32" xfId="0" quotePrefix="1" applyFont="1" applyBorder="1" applyAlignment="1" applyProtection="1">
      <alignment horizontal="center"/>
      <protection locked="0"/>
    </xf>
    <xf numFmtId="0" fontId="1" fillId="0" borderId="37" xfId="0" applyFont="1" applyBorder="1" applyAlignment="1" applyProtection="1">
      <alignment horizontal="right"/>
      <protection locked="0"/>
    </xf>
    <xf numFmtId="0" fontId="1" fillId="0" borderId="32" xfId="0" quotePrefix="1" applyFont="1" applyBorder="1" applyAlignment="1" applyProtection="1">
      <protection locked="0"/>
    </xf>
    <xf numFmtId="2" fontId="1" fillId="0" borderId="211" xfId="0" applyNumberFormat="1" applyFont="1" applyBorder="1" applyAlignment="1" applyProtection="1">
      <alignment horizontal="center"/>
      <protection locked="0"/>
    </xf>
    <xf numFmtId="189" fontId="1" fillId="0" borderId="71" xfId="0" applyNumberFormat="1" applyFont="1" applyBorder="1" applyAlignment="1" applyProtection="1">
      <alignment horizontal="center"/>
      <protection locked="0"/>
    </xf>
    <xf numFmtId="0" fontId="1" fillId="12" borderId="1" xfId="0" applyFont="1" applyFill="1" applyBorder="1" applyProtection="1">
      <protection locked="0"/>
    </xf>
    <xf numFmtId="0" fontId="7" fillId="12" borderId="1" xfId="0" applyFont="1" applyFill="1" applyBorder="1" applyProtection="1">
      <protection locked="0"/>
    </xf>
    <xf numFmtId="0" fontId="7" fillId="0" borderId="212" xfId="0" applyFont="1" applyBorder="1" applyAlignment="1" applyProtection="1">
      <alignment horizontal="center"/>
      <protection locked="0"/>
    </xf>
    <xf numFmtId="2" fontId="7" fillId="0" borderId="213" xfId="0" applyNumberFormat="1" applyFont="1" applyBorder="1" applyAlignment="1" applyProtection="1">
      <alignment horizontal="center"/>
      <protection locked="0"/>
    </xf>
    <xf numFmtId="0" fontId="7" fillId="0" borderId="69" xfId="0" applyFont="1" applyBorder="1" applyAlignment="1" applyProtection="1">
      <alignment horizontal="center"/>
      <protection locked="0"/>
    </xf>
    <xf numFmtId="189" fontId="7" fillId="0" borderId="118" xfId="0" applyNumberFormat="1" applyFont="1" applyBorder="1" applyAlignment="1" applyProtection="1">
      <alignment horizontal="center"/>
      <protection locked="0"/>
    </xf>
    <xf numFmtId="0" fontId="1" fillId="0" borderId="29" xfId="0" applyFont="1" applyBorder="1" applyProtection="1">
      <protection locked="0"/>
    </xf>
    <xf numFmtId="0" fontId="7" fillId="0" borderId="28" xfId="0" applyFont="1" applyFill="1" applyBorder="1" applyProtection="1">
      <protection locked="0"/>
    </xf>
    <xf numFmtId="0" fontId="1" fillId="0" borderId="44" xfId="0" applyFont="1" applyBorder="1" applyProtection="1">
      <protection locked="0"/>
    </xf>
    <xf numFmtId="0" fontId="1" fillId="0" borderId="37" xfId="0" applyFont="1" applyBorder="1" applyAlignment="1" applyProtection="1">
      <alignment horizontal="centerContinuous"/>
      <protection locked="0"/>
    </xf>
    <xf numFmtId="0" fontId="7" fillId="0" borderId="18" xfId="0" applyFont="1" applyBorder="1" applyProtection="1">
      <protection locked="0"/>
    </xf>
    <xf numFmtId="0" fontId="1" fillId="0" borderId="22" xfId="0" applyFont="1" applyBorder="1" applyProtection="1">
      <protection locked="0"/>
    </xf>
    <xf numFmtId="0" fontId="1" fillId="0" borderId="44" xfId="0" applyFont="1" applyBorder="1" applyAlignment="1" applyProtection="1">
      <protection locked="0"/>
    </xf>
    <xf numFmtId="0" fontId="7" fillId="0" borderId="32" xfId="0" applyFont="1" applyFill="1" applyBorder="1" applyAlignment="1" applyProtection="1">
      <protection locked="0"/>
    </xf>
    <xf numFmtId="0" fontId="1" fillId="0" borderId="37" xfId="0" applyFont="1" applyFill="1" applyBorder="1" applyProtection="1">
      <protection locked="0"/>
    </xf>
    <xf numFmtId="0" fontId="7" fillId="0" borderId="10" xfId="0" applyFont="1" applyBorder="1" applyAlignment="1" applyProtection="1">
      <alignment horizontal="centerContinuous"/>
      <protection locked="0"/>
    </xf>
    <xf numFmtId="0" fontId="7" fillId="0" borderId="32" xfId="0" applyFont="1" applyBorder="1" applyProtection="1">
      <protection locked="0"/>
    </xf>
    <xf numFmtId="0" fontId="7" fillId="0" borderId="10" xfId="0" applyFont="1" applyBorder="1" applyProtection="1">
      <protection locked="0"/>
    </xf>
    <xf numFmtId="0" fontId="7" fillId="0" borderId="10" xfId="0" applyFont="1" applyBorder="1" applyAlignment="1" applyProtection="1">
      <alignment horizontal="center"/>
      <protection locked="0"/>
    </xf>
    <xf numFmtId="0" fontId="1" fillId="0" borderId="93" xfId="0" applyFont="1" applyBorder="1" applyAlignment="1" applyProtection="1">
      <protection locked="0"/>
    </xf>
    <xf numFmtId="0" fontId="1" fillId="12" borderId="196" xfId="0" applyFont="1" applyFill="1" applyBorder="1" applyAlignment="1" applyProtection="1">
      <alignment horizontal="centerContinuous"/>
      <protection locked="0"/>
    </xf>
    <xf numFmtId="0" fontId="1" fillId="12" borderId="197" xfId="0" applyFont="1" applyFill="1" applyBorder="1" applyAlignment="1" applyProtection="1">
      <alignment horizontal="centerContinuous"/>
      <protection locked="0"/>
    </xf>
    <xf numFmtId="173" fontId="1" fillId="0" borderId="196" xfId="0" applyNumberFormat="1" applyFont="1" applyBorder="1" applyProtection="1">
      <protection locked="0"/>
    </xf>
    <xf numFmtId="0" fontId="1" fillId="0" borderId="96" xfId="0" quotePrefix="1" applyFont="1" applyBorder="1" applyProtection="1">
      <protection locked="0"/>
    </xf>
    <xf numFmtId="4" fontId="1" fillId="0" borderId="196" xfId="0" applyNumberFormat="1" applyFont="1" applyBorder="1" applyProtection="1">
      <protection locked="0"/>
    </xf>
    <xf numFmtId="0" fontId="7" fillId="0" borderId="26" xfId="0" applyFont="1" applyBorder="1" applyAlignment="1" applyProtection="1">
      <alignment horizontal="center"/>
      <protection locked="0"/>
    </xf>
    <xf numFmtId="0" fontId="7" fillId="0" borderId="74" xfId="0" applyFont="1" applyBorder="1" applyAlignment="1" applyProtection="1">
      <alignment horizontal="center"/>
      <protection locked="0"/>
    </xf>
    <xf numFmtId="0" fontId="1" fillId="0" borderId="208" xfId="0" applyFont="1" applyFill="1" applyBorder="1" applyAlignment="1" applyProtection="1">
      <protection locked="0"/>
    </xf>
    <xf numFmtId="0" fontId="1" fillId="0" borderId="92" xfId="0" applyFont="1" applyFill="1" applyBorder="1" applyAlignment="1" applyProtection="1">
      <alignment horizontal="center"/>
      <protection locked="0"/>
    </xf>
    <xf numFmtId="173" fontId="1" fillId="0" borderId="91" xfId="0" applyNumberFormat="1" applyFont="1" applyBorder="1" applyProtection="1">
      <protection locked="0"/>
    </xf>
    <xf numFmtId="0" fontId="1" fillId="0" borderId="91" xfId="0" quotePrefix="1" applyFont="1" applyBorder="1" applyProtection="1">
      <protection locked="0"/>
    </xf>
    <xf numFmtId="4" fontId="1" fillId="0" borderId="208" xfId="0" applyNumberFormat="1" applyFont="1" applyBorder="1" applyProtection="1">
      <protection locked="0"/>
    </xf>
    <xf numFmtId="0" fontId="7" fillId="0" borderId="71" xfId="0" applyFont="1" applyBorder="1" applyAlignment="1" applyProtection="1">
      <alignment horizontal="center"/>
      <protection locked="0"/>
    </xf>
    <xf numFmtId="189" fontId="1" fillId="0" borderId="214" xfId="0" applyNumberFormat="1" applyFont="1" applyBorder="1" applyProtection="1">
      <protection locked="0"/>
    </xf>
    <xf numFmtId="0" fontId="1" fillId="0" borderId="66" xfId="0" applyFont="1" applyBorder="1" applyProtection="1">
      <protection locked="0"/>
    </xf>
    <xf numFmtId="173" fontId="1" fillId="0" borderId="76" xfId="0" applyNumberFormat="1" applyFont="1" applyBorder="1" applyProtection="1">
      <protection locked="0"/>
    </xf>
    <xf numFmtId="0" fontId="1" fillId="0" borderId="76" xfId="0" quotePrefix="1" applyFont="1" applyBorder="1" applyProtection="1">
      <protection locked="0"/>
    </xf>
    <xf numFmtId="4" fontId="1" fillId="0" borderId="214" xfId="0" applyNumberFormat="1" applyFont="1" applyBorder="1" applyProtection="1">
      <protection locked="0"/>
    </xf>
    <xf numFmtId="189" fontId="7" fillId="0" borderId="16" xfId="0" applyNumberFormat="1" applyFont="1" applyBorder="1" applyProtection="1">
      <protection locked="0"/>
    </xf>
    <xf numFmtId="1" fontId="1" fillId="0" borderId="26" xfId="0" applyNumberFormat="1" applyFont="1" applyBorder="1" applyProtection="1">
      <protection locked="0"/>
    </xf>
    <xf numFmtId="189" fontId="1" fillId="0" borderId="16" xfId="0" applyNumberFormat="1" applyFont="1" applyBorder="1" applyProtection="1">
      <protection locked="0"/>
    </xf>
    <xf numFmtId="189" fontId="1" fillId="0" borderId="26" xfId="0" applyNumberFormat="1" applyFont="1" applyBorder="1" applyProtection="1">
      <protection locked="0"/>
    </xf>
    <xf numFmtId="4" fontId="1" fillId="0" borderId="16" xfId="0" applyNumberFormat="1" applyFont="1" applyBorder="1" applyProtection="1">
      <protection locked="0"/>
    </xf>
    <xf numFmtId="173" fontId="1" fillId="0" borderId="70" xfId="0" applyNumberFormat="1" applyFont="1" applyBorder="1" applyAlignment="1" applyProtection="1">
      <protection locked="0"/>
    </xf>
    <xf numFmtId="189" fontId="1" fillId="0" borderId="32" xfId="0" applyNumberFormat="1" applyFont="1" applyBorder="1" applyAlignment="1" applyProtection="1">
      <alignment horizontal="right"/>
      <protection locked="0"/>
    </xf>
    <xf numFmtId="173" fontId="1" fillId="0" borderId="32" xfId="0" applyNumberFormat="1" applyFont="1" applyBorder="1" applyProtection="1">
      <protection locked="0"/>
    </xf>
    <xf numFmtId="0" fontId="1" fillId="0" borderId="10" xfId="0" quotePrefix="1" applyFont="1" applyBorder="1" applyProtection="1">
      <protection locked="0"/>
    </xf>
    <xf numFmtId="4" fontId="1" fillId="0" borderId="32" xfId="0" applyNumberFormat="1" applyFont="1" applyBorder="1" applyProtection="1">
      <protection locked="0"/>
    </xf>
    <xf numFmtId="1" fontId="1" fillId="0" borderId="7" xfId="0" applyNumberFormat="1" applyFont="1" applyBorder="1" applyAlignment="1" applyProtection="1">
      <alignment horizontal="center"/>
      <protection locked="0"/>
    </xf>
    <xf numFmtId="4" fontId="1" fillId="0" borderId="32" xfId="0" applyNumberFormat="1" applyFont="1" applyBorder="1" applyAlignment="1" applyProtection="1">
      <alignment horizontal="center"/>
      <protection locked="0"/>
    </xf>
    <xf numFmtId="4" fontId="1" fillId="0" borderId="71" xfId="0" applyNumberFormat="1" applyFont="1" applyBorder="1" applyAlignment="1" applyProtection="1">
      <alignment horizontal="center"/>
      <protection locked="0"/>
    </xf>
    <xf numFmtId="0" fontId="1" fillId="12" borderId="5" xfId="0" applyFont="1" applyFill="1" applyBorder="1" applyProtection="1">
      <protection locked="0"/>
    </xf>
    <xf numFmtId="0" fontId="7" fillId="0" borderId="124" xfId="0" applyFont="1" applyBorder="1" applyProtection="1">
      <protection locked="0"/>
    </xf>
    <xf numFmtId="0" fontId="1" fillId="0" borderId="1" xfId="0" applyFont="1" applyBorder="1" applyProtection="1">
      <protection locked="0"/>
    </xf>
    <xf numFmtId="4" fontId="7" fillId="0" borderId="124" xfId="0" applyNumberFormat="1" applyFont="1" applyBorder="1" applyProtection="1">
      <protection locked="0"/>
    </xf>
    <xf numFmtId="0" fontId="1" fillId="0" borderId="73" xfId="0" applyFont="1" applyBorder="1" applyProtection="1">
      <protection locked="0"/>
    </xf>
    <xf numFmtId="0" fontId="1" fillId="12" borderId="124" xfId="0" applyFont="1" applyFill="1" applyBorder="1" applyProtection="1">
      <protection locked="0"/>
    </xf>
    <xf numFmtId="4" fontId="7" fillId="0" borderId="115" xfId="0" applyNumberFormat="1" applyFont="1" applyBorder="1" applyAlignment="1" applyProtection="1">
      <alignment horizontal="center"/>
      <protection locked="0"/>
    </xf>
    <xf numFmtId="173" fontId="1" fillId="0" borderId="0" xfId="0" applyNumberFormat="1" applyFont="1" applyBorder="1" applyProtection="1">
      <protection locked="0"/>
    </xf>
    <xf numFmtId="0" fontId="1" fillId="0" borderId="0" xfId="0" applyFont="1" applyFill="1" applyBorder="1" applyProtection="1">
      <protection locked="0"/>
    </xf>
    <xf numFmtId="0" fontId="7" fillId="0" borderId="16" xfId="0" applyFont="1" applyBorder="1" applyProtection="1">
      <protection locked="0"/>
    </xf>
    <xf numFmtId="0" fontId="1" fillId="0" borderId="13" xfId="0" applyFont="1" applyBorder="1" applyProtection="1">
      <protection locked="0"/>
    </xf>
    <xf numFmtId="0" fontId="1" fillId="0" borderId="35" xfId="0" applyFont="1" applyBorder="1" applyProtection="1">
      <protection locked="0"/>
    </xf>
    <xf numFmtId="0" fontId="7" fillId="0" borderId="16" xfId="0" applyFont="1" applyBorder="1" applyAlignment="1" applyProtection="1">
      <alignment horizontal="center"/>
      <protection locked="0"/>
    </xf>
    <xf numFmtId="0" fontId="7" fillId="0" borderId="18" xfId="0" applyFont="1" applyBorder="1" applyAlignment="1" applyProtection="1">
      <alignment horizontal="centerContinuous"/>
      <protection locked="0"/>
    </xf>
    <xf numFmtId="0" fontId="7" fillId="0" borderId="70" xfId="0" applyFont="1" applyBorder="1" applyAlignment="1" applyProtection="1">
      <alignment horizontal="center"/>
      <protection locked="0"/>
    </xf>
    <xf numFmtId="0" fontId="7" fillId="0" borderId="32" xfId="0" applyFont="1" applyBorder="1" applyAlignment="1" applyProtection="1">
      <protection locked="0"/>
    </xf>
    <xf numFmtId="1" fontId="1" fillId="0" borderId="16" xfId="0" applyNumberFormat="1" applyFont="1" applyBorder="1" applyProtection="1">
      <protection locked="0"/>
    </xf>
    <xf numFmtId="0" fontId="7" fillId="0" borderId="26" xfId="0" applyFont="1" applyBorder="1" applyAlignment="1" applyProtection="1">
      <protection locked="0"/>
    </xf>
    <xf numFmtId="0" fontId="1" fillId="0" borderId="26" xfId="0" applyFont="1" applyBorder="1" applyProtection="1">
      <protection locked="0"/>
    </xf>
    <xf numFmtId="4" fontId="1" fillId="0" borderId="70" xfId="0" applyNumberFormat="1" applyFont="1" applyBorder="1" applyProtection="1">
      <protection locked="0"/>
    </xf>
    <xf numFmtId="0" fontId="1" fillId="0" borderId="208" xfId="0" applyFont="1" applyBorder="1" applyProtection="1">
      <protection locked="0"/>
    </xf>
    <xf numFmtId="1" fontId="1" fillId="0" borderId="208" xfId="0" applyNumberFormat="1" applyFont="1" applyBorder="1" applyProtection="1">
      <protection locked="0"/>
    </xf>
    <xf numFmtId="0" fontId="1" fillId="0" borderId="192" xfId="0" applyFont="1" applyBorder="1" applyAlignment="1" applyProtection="1">
      <alignment horizontal="right"/>
      <protection locked="0"/>
    </xf>
    <xf numFmtId="173" fontId="1" fillId="0" borderId="208" xfId="0" applyNumberFormat="1" applyFont="1" applyBorder="1" applyProtection="1">
      <protection locked="0"/>
    </xf>
    <xf numFmtId="4" fontId="1" fillId="0" borderId="191" xfId="0" applyNumberFormat="1" applyFont="1" applyBorder="1" applyAlignment="1" applyProtection="1">
      <protection locked="0"/>
    </xf>
    <xf numFmtId="1" fontId="1" fillId="0" borderId="32" xfId="0" applyNumberFormat="1" applyFont="1" applyBorder="1" applyProtection="1">
      <protection locked="0"/>
    </xf>
    <xf numFmtId="0" fontId="1" fillId="0" borderId="38" xfId="0" applyFont="1" applyBorder="1" applyAlignment="1" applyProtection="1">
      <alignment horizontal="right"/>
      <protection locked="0"/>
    </xf>
    <xf numFmtId="0" fontId="1" fillId="0" borderId="38" xfId="0" applyFont="1" applyBorder="1" applyProtection="1">
      <protection locked="0"/>
    </xf>
    <xf numFmtId="2" fontId="1" fillId="0" borderId="18" xfId="0" applyNumberFormat="1" applyFont="1" applyBorder="1" applyProtection="1">
      <protection locked="0"/>
    </xf>
    <xf numFmtId="4" fontId="1" fillId="0" borderId="74" xfId="0" applyNumberFormat="1" applyFont="1" applyBorder="1" applyAlignment="1" applyProtection="1">
      <protection locked="0"/>
    </xf>
    <xf numFmtId="189" fontId="1" fillId="12" borderId="5" xfId="0" applyNumberFormat="1" applyFont="1" applyFill="1" applyBorder="1" applyProtection="1">
      <protection locked="0"/>
    </xf>
    <xf numFmtId="0" fontId="1" fillId="12" borderId="5" xfId="0" applyFont="1" applyFill="1" applyBorder="1" applyAlignment="1" applyProtection="1">
      <alignment horizontal="center"/>
      <protection locked="0"/>
    </xf>
    <xf numFmtId="4" fontId="7" fillId="0" borderId="115" xfId="0" applyNumberFormat="1" applyFont="1" applyBorder="1" applyAlignment="1" applyProtection="1">
      <protection locked="0"/>
    </xf>
    <xf numFmtId="190" fontId="16" fillId="0" borderId="5" xfId="0" applyNumberFormat="1" applyFont="1" applyBorder="1" applyProtection="1">
      <protection locked="0"/>
    </xf>
    <xf numFmtId="190" fontId="1" fillId="0" borderId="5" xfId="0" applyNumberFormat="1" applyFont="1" applyBorder="1" applyProtection="1">
      <protection locked="0"/>
    </xf>
    <xf numFmtId="190" fontId="7" fillId="0" borderId="166" xfId="0" applyNumberFormat="1" applyFont="1" applyBorder="1" applyAlignment="1" applyProtection="1">
      <alignment horizontal="centerContinuous"/>
      <protection locked="0"/>
    </xf>
    <xf numFmtId="190" fontId="1" fillId="0" borderId="166" xfId="0" applyNumberFormat="1" applyFont="1" applyBorder="1" applyProtection="1">
      <protection locked="0"/>
    </xf>
    <xf numFmtId="190" fontId="7" fillId="0" borderId="166" xfId="0" applyNumberFormat="1" applyFont="1" applyBorder="1" applyProtection="1">
      <protection locked="0"/>
    </xf>
    <xf numFmtId="190" fontId="1" fillId="0" borderId="215" xfId="0" applyNumberFormat="1" applyFont="1" applyBorder="1" applyProtection="1">
      <protection locked="0"/>
    </xf>
    <xf numFmtId="0" fontId="1" fillId="0" borderId="64" xfId="0" applyFont="1" applyBorder="1" applyProtection="1">
      <protection locked="0"/>
    </xf>
    <xf numFmtId="190" fontId="7" fillId="0" borderId="121" xfId="0" applyNumberFormat="1" applyFont="1" applyBorder="1" applyAlignment="1" applyProtection="1">
      <alignment horizontal="center"/>
      <protection locked="0"/>
    </xf>
    <xf numFmtId="190" fontId="1" fillId="0" borderId="10" xfId="0" applyNumberFormat="1" applyFont="1" applyBorder="1" applyProtection="1">
      <protection locked="0"/>
    </xf>
    <xf numFmtId="190" fontId="1" fillId="0" borderId="32" xfId="0" applyNumberFormat="1" applyFont="1" applyBorder="1" applyProtection="1">
      <protection locked="0"/>
    </xf>
    <xf numFmtId="190" fontId="1" fillId="0" borderId="37" xfId="0" applyNumberFormat="1" applyFont="1" applyBorder="1" applyProtection="1">
      <protection locked="0"/>
    </xf>
    <xf numFmtId="190" fontId="1" fillId="0" borderId="216" xfId="0" applyNumberFormat="1" applyFont="1" applyBorder="1" applyProtection="1">
      <protection locked="0"/>
    </xf>
    <xf numFmtId="190" fontId="1" fillId="0" borderId="165" xfId="0" applyNumberFormat="1" applyFont="1" applyBorder="1" applyProtection="1">
      <protection locked="0"/>
    </xf>
    <xf numFmtId="190" fontId="1" fillId="0" borderId="217" xfId="0" applyNumberFormat="1" applyFont="1" applyBorder="1" applyProtection="1">
      <protection locked="0"/>
    </xf>
    <xf numFmtId="0" fontId="1" fillId="0" borderId="165" xfId="0" applyFont="1" applyBorder="1" applyProtection="1">
      <protection locked="0"/>
    </xf>
    <xf numFmtId="0" fontId="1" fillId="0" borderId="217" xfId="0" applyFont="1" applyBorder="1" applyProtection="1">
      <protection locked="0"/>
    </xf>
    <xf numFmtId="190" fontId="1" fillId="0" borderId="71" xfId="0" applyNumberFormat="1" applyFont="1" applyBorder="1" applyProtection="1">
      <protection locked="0"/>
    </xf>
    <xf numFmtId="190" fontId="1" fillId="0" borderId="5" xfId="0" quotePrefix="1" applyNumberFormat="1" applyFont="1" applyBorder="1" applyProtection="1">
      <protection locked="0"/>
    </xf>
    <xf numFmtId="190" fontId="1" fillId="0" borderId="59" xfId="0" applyNumberFormat="1" applyFont="1" applyBorder="1" applyProtection="1">
      <protection locked="0"/>
    </xf>
    <xf numFmtId="190" fontId="1" fillId="0" borderId="6" xfId="0" applyNumberFormat="1" applyFont="1" applyBorder="1" applyProtection="1">
      <protection locked="0"/>
    </xf>
    <xf numFmtId="190" fontId="1" fillId="0" borderId="124" xfId="0" applyNumberFormat="1" applyFont="1" applyBorder="1" applyProtection="1">
      <protection locked="0"/>
    </xf>
    <xf numFmtId="173" fontId="1" fillId="0" borderId="113" xfId="0" applyNumberFormat="1" applyFont="1" applyBorder="1" applyAlignment="1" applyProtection="1">
      <alignment horizontal="center"/>
      <protection locked="0"/>
    </xf>
    <xf numFmtId="0" fontId="1" fillId="0" borderId="93" xfId="0" applyFont="1" applyBorder="1" applyProtection="1">
      <protection locked="0"/>
    </xf>
    <xf numFmtId="0" fontId="7" fillId="0" borderId="21" xfId="0" applyFont="1" applyBorder="1" applyAlignment="1" applyProtection="1">
      <alignment horizontal="center"/>
      <protection locked="0"/>
    </xf>
    <xf numFmtId="0" fontId="1" fillId="0" borderId="0" xfId="0" applyFont="1" applyAlignment="1" applyProtection="1">
      <protection locked="0"/>
    </xf>
    <xf numFmtId="0" fontId="1" fillId="0" borderId="74" xfId="0" applyFont="1" applyBorder="1" applyProtection="1">
      <protection locked="0"/>
    </xf>
    <xf numFmtId="173" fontId="7" fillId="0" borderId="71" xfId="0" applyNumberFormat="1" applyFont="1" applyBorder="1" applyAlignment="1" applyProtection="1">
      <alignment horizontal="center"/>
      <protection locked="0"/>
    </xf>
    <xf numFmtId="0" fontId="1" fillId="0" borderId="28" xfId="0" applyFont="1" applyBorder="1" applyAlignment="1" applyProtection="1">
      <alignment horizontal="centerContinuous"/>
      <protection locked="0"/>
    </xf>
    <xf numFmtId="0" fontId="114" fillId="0" borderId="13" xfId="0" applyFont="1" applyBorder="1" applyAlignment="1" applyProtection="1">
      <alignment horizontal="centerContinuous"/>
      <protection locked="0"/>
    </xf>
    <xf numFmtId="0" fontId="114" fillId="0" borderId="10" xfId="0" applyFont="1" applyBorder="1" applyProtection="1">
      <protection locked="0"/>
    </xf>
    <xf numFmtId="0" fontId="1" fillId="0" borderId="208" xfId="0" applyFont="1" applyBorder="1" applyAlignment="1" applyProtection="1">
      <alignment horizontal="centerContinuous"/>
      <protection locked="0"/>
    </xf>
    <xf numFmtId="0" fontId="1" fillId="0" borderId="91" xfId="0" applyFont="1" applyBorder="1" applyAlignment="1" applyProtection="1">
      <alignment horizontal="centerContinuous"/>
      <protection locked="0"/>
    </xf>
    <xf numFmtId="0" fontId="7" fillId="0" borderId="170" xfId="0" applyFont="1" applyBorder="1" applyAlignment="1" applyProtection="1">
      <alignment horizontal="center"/>
      <protection locked="0"/>
    </xf>
    <xf numFmtId="173" fontId="7" fillId="0" borderId="191" xfId="0" applyNumberFormat="1" applyFont="1" applyBorder="1" applyAlignment="1" applyProtection="1">
      <alignment horizontal="center"/>
      <protection locked="0"/>
    </xf>
    <xf numFmtId="0" fontId="16" fillId="0" borderId="32" xfId="0" applyFont="1" applyBorder="1" applyAlignment="1" applyProtection="1">
      <protection locked="0"/>
    </xf>
    <xf numFmtId="0" fontId="7" fillId="0" borderId="10" xfId="0" applyFont="1" applyBorder="1" applyAlignment="1" applyProtection="1">
      <protection locked="0"/>
    </xf>
    <xf numFmtId="173" fontId="1" fillId="0" borderId="71" xfId="0" applyNumberFormat="1" applyFont="1" applyBorder="1" applyAlignment="1" applyProtection="1">
      <alignment horizontal="center"/>
      <protection locked="0"/>
    </xf>
    <xf numFmtId="0" fontId="1" fillId="12" borderId="0" xfId="0" applyFont="1" applyFill="1" applyBorder="1" applyProtection="1">
      <protection locked="0"/>
    </xf>
    <xf numFmtId="0" fontId="1" fillId="12" borderId="0" xfId="0" applyFont="1" applyFill="1" applyProtection="1">
      <protection locked="0"/>
    </xf>
    <xf numFmtId="0" fontId="7" fillId="0" borderId="94" xfId="0" applyFont="1" applyBorder="1" applyAlignment="1" applyProtection="1">
      <protection locked="0"/>
    </xf>
    <xf numFmtId="173" fontId="7" fillId="0" borderId="45" xfId="0" applyNumberFormat="1" applyFont="1" applyBorder="1" applyAlignment="1" applyProtection="1">
      <alignment horizontal="center"/>
      <protection locked="0"/>
    </xf>
    <xf numFmtId="0" fontId="7" fillId="12" borderId="5" xfId="0" applyFont="1" applyFill="1" applyBorder="1" applyProtection="1">
      <protection locked="0"/>
    </xf>
    <xf numFmtId="0" fontId="7" fillId="0" borderId="59" xfId="0" applyFont="1" applyBorder="1" applyProtection="1">
      <protection locked="0"/>
    </xf>
    <xf numFmtId="4" fontId="7" fillId="0" borderId="113" xfId="0" applyNumberFormat="1" applyFont="1" applyBorder="1" applyAlignment="1" applyProtection="1">
      <alignment horizontal="center"/>
      <protection locked="0"/>
    </xf>
    <xf numFmtId="0" fontId="0" fillId="0" borderId="0" xfId="0" applyProtection="1">
      <protection locked="0"/>
    </xf>
    <xf numFmtId="0" fontId="118" fillId="0" borderId="0" xfId="0" applyFont="1" applyAlignment="1" applyProtection="1">
      <alignment horizontal="justify" vertical="center"/>
      <protection locked="0"/>
    </xf>
    <xf numFmtId="0" fontId="95" fillId="0" borderId="0" xfId="0" applyFont="1" applyProtection="1">
      <protection locked="0"/>
    </xf>
    <xf numFmtId="9" fontId="1" fillId="0" borderId="192" xfId="0" applyNumberFormat="1" applyFont="1" applyBorder="1" applyAlignment="1" applyProtection="1">
      <alignment horizontal="center"/>
    </xf>
    <xf numFmtId="0" fontId="15" fillId="7" borderId="152" xfId="0" applyFont="1" applyFill="1" applyBorder="1" applyAlignment="1" applyProtection="1">
      <alignment horizontal="center" vertical="top" wrapText="1"/>
    </xf>
    <xf numFmtId="0" fontId="14" fillId="0" borderId="153" xfId="0" applyFont="1" applyBorder="1" applyAlignment="1" applyProtection="1">
      <alignment horizontal="center" vertical="top" wrapText="1"/>
    </xf>
    <xf numFmtId="0" fontId="15" fillId="6" borderId="151" xfId="0" applyFont="1" applyFill="1" applyBorder="1" applyAlignment="1" applyProtection="1">
      <alignment horizontal="center" vertical="top" wrapText="1"/>
    </xf>
    <xf numFmtId="0" fontId="14" fillId="0" borderId="84" xfId="0" applyFont="1" applyBorder="1" applyAlignment="1" applyProtection="1">
      <alignment horizontal="center" vertical="top" wrapText="1"/>
    </xf>
    <xf numFmtId="49" fontId="15" fillId="3" borderId="124" xfId="0" applyNumberFormat="1" applyFont="1" applyFill="1" applyBorder="1" applyAlignment="1" applyProtection="1">
      <alignment vertical="center"/>
      <protection locked="0"/>
    </xf>
    <xf numFmtId="0" fontId="12" fillId="0" borderId="118" xfId="0" applyFont="1" applyBorder="1" applyAlignment="1" applyProtection="1">
      <alignment vertical="center"/>
      <protection locked="0"/>
    </xf>
    <xf numFmtId="49" fontId="15" fillId="3" borderId="94" xfId="0" applyNumberFormat="1" applyFont="1" applyFill="1" applyBorder="1" applyAlignment="1" applyProtection="1">
      <alignment vertical="center"/>
      <protection locked="0"/>
    </xf>
    <xf numFmtId="0" fontId="12" fillId="0" borderId="44" xfId="0" applyFont="1" applyBorder="1" applyAlignment="1" applyProtection="1">
      <alignment vertical="center"/>
      <protection locked="0"/>
    </xf>
    <xf numFmtId="0" fontId="15" fillId="3" borderId="94" xfId="0" applyFont="1" applyFill="1" applyBorder="1" applyAlignment="1" applyProtection="1">
      <alignment vertical="center"/>
      <protection locked="0"/>
    </xf>
    <xf numFmtId="49" fontId="15" fillId="3" borderId="94" xfId="0" applyNumberFormat="1" applyFont="1" applyFill="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49" fontId="15" fillId="0" borderId="94" xfId="0" applyNumberFormat="1" applyFont="1" applyFill="1" applyBorder="1" applyAlignment="1" applyProtection="1">
      <alignment vertical="center"/>
    </xf>
    <xf numFmtId="0" fontId="12" fillId="0" borderId="44" xfId="0" applyFont="1" applyFill="1" applyBorder="1" applyAlignment="1" applyProtection="1">
      <alignment vertical="center"/>
    </xf>
    <xf numFmtId="0" fontId="15" fillId="14" borderId="32" xfId="0" applyFont="1" applyFill="1" applyBorder="1" applyAlignment="1" applyProtection="1">
      <alignment horizontal="center" vertical="center"/>
    </xf>
    <xf numFmtId="0" fontId="98" fillId="14" borderId="10" xfId="0" applyFont="1" applyFill="1" applyBorder="1" applyAlignment="1">
      <alignment horizontal="center" vertical="center"/>
    </xf>
    <xf numFmtId="0" fontId="98" fillId="14" borderId="37" xfId="0" applyFont="1" applyFill="1" applyBorder="1" applyAlignment="1">
      <alignment horizontal="center" vertical="center"/>
    </xf>
    <xf numFmtId="0" fontId="25" fillId="3" borderId="51" xfId="0" applyFont="1" applyFill="1" applyBorder="1" applyAlignment="1" applyProtection="1">
      <alignment horizontal="center" vertical="center" wrapText="1"/>
    </xf>
    <xf numFmtId="0" fontId="14" fillId="3" borderId="21" xfId="0" applyFont="1" applyFill="1" applyBorder="1" applyAlignment="1">
      <alignment horizontal="center" vertical="center" wrapText="1"/>
    </xf>
    <xf numFmtId="0" fontId="14" fillId="3" borderId="94" xfId="0" applyFont="1" applyFill="1" applyBorder="1" applyAlignment="1">
      <alignment horizontal="center" vertical="center" wrapText="1"/>
    </xf>
    <xf numFmtId="0" fontId="14" fillId="3" borderId="51" xfId="0" applyFont="1" applyFill="1" applyBorder="1" applyAlignment="1">
      <alignment vertical="center" wrapText="1"/>
    </xf>
    <xf numFmtId="0" fontId="14" fillId="3" borderId="21" xfId="0" applyFont="1" applyFill="1" applyBorder="1" applyAlignment="1">
      <alignment vertical="center" wrapText="1"/>
    </xf>
    <xf numFmtId="0" fontId="14" fillId="3" borderId="94" xfId="0" applyFont="1" applyFill="1" applyBorder="1" applyAlignment="1">
      <alignment vertical="center" wrapText="1"/>
    </xf>
    <xf numFmtId="173" fontId="15" fillId="0" borderId="150" xfId="0" applyNumberFormat="1" applyFont="1" applyFill="1" applyBorder="1" applyAlignment="1" applyProtection="1">
      <alignment horizontal="right" vertical="center" wrapText="1"/>
    </xf>
    <xf numFmtId="173" fontId="15" fillId="0" borderId="150" xfId="0" applyNumberFormat="1" applyFont="1" applyBorder="1" applyAlignment="1" applyProtection="1">
      <alignment horizontal="right" vertical="center" wrapText="1"/>
    </xf>
    <xf numFmtId="173" fontId="15" fillId="10" borderId="19" xfId="0" applyNumberFormat="1" applyFont="1" applyFill="1" applyBorder="1" applyAlignment="1" applyProtection="1">
      <alignment horizontal="right" vertical="center" wrapText="1"/>
    </xf>
    <xf numFmtId="173" fontId="12" fillId="10" borderId="20" xfId="0" applyNumberFormat="1" applyFont="1" applyFill="1" applyBorder="1" applyAlignment="1" applyProtection="1">
      <alignment horizontal="right" vertical="center" wrapText="1"/>
    </xf>
    <xf numFmtId="0" fontId="12" fillId="10" borderId="20" xfId="0" applyFont="1" applyFill="1" applyBorder="1" applyAlignment="1">
      <alignment horizontal="right" vertical="center"/>
    </xf>
    <xf numFmtId="0" fontId="12" fillId="10" borderId="149" xfId="0" applyFont="1" applyFill="1" applyBorder="1" applyAlignment="1">
      <alignment horizontal="right" vertical="center"/>
    </xf>
    <xf numFmtId="0" fontId="14" fillId="0" borderId="79" xfId="0" applyFont="1" applyFill="1" applyBorder="1" applyAlignment="1" applyProtection="1">
      <alignment horizontal="right" vertical="center"/>
    </xf>
    <xf numFmtId="0" fontId="12" fillId="0" borderId="157" xfId="0" applyFont="1" applyBorder="1" applyAlignment="1" applyProtection="1">
      <alignment horizontal="right" vertical="center"/>
    </xf>
    <xf numFmtId="0" fontId="12" fillId="0" borderId="158" xfId="0" applyFont="1" applyBorder="1" applyAlignment="1">
      <alignment horizontal="right" vertical="center"/>
    </xf>
    <xf numFmtId="0" fontId="14" fillId="0" borderId="80" xfId="0" applyFont="1" applyFill="1" applyBorder="1" applyAlignment="1" applyProtection="1">
      <alignment horizontal="right" vertical="center"/>
    </xf>
    <xf numFmtId="0" fontId="12" fillId="0" borderId="159" xfId="0" applyFont="1" applyBorder="1" applyAlignment="1">
      <alignment horizontal="right" vertical="center"/>
    </xf>
    <xf numFmtId="0" fontId="12" fillId="0" borderId="160" xfId="0" applyFont="1" applyBorder="1" applyAlignment="1">
      <alignment horizontal="right" vertical="center"/>
    </xf>
    <xf numFmtId="0" fontId="15" fillId="0" borderId="9" xfId="0" applyFont="1" applyFill="1" applyBorder="1" applyAlignment="1" applyProtection="1">
      <alignment horizontal="right" vertical="center"/>
    </xf>
    <xf numFmtId="0" fontId="12" fillId="0" borderId="10" xfId="0" applyFont="1" applyBorder="1" applyAlignment="1">
      <alignment horizontal="right" vertical="center"/>
    </xf>
    <xf numFmtId="0" fontId="12" fillId="0" borderId="37" xfId="0" applyFont="1" applyBorder="1" applyAlignment="1">
      <alignment horizontal="right" vertical="center"/>
    </xf>
    <xf numFmtId="0" fontId="14" fillId="0" borderId="85" xfId="0" applyFont="1" applyFill="1" applyBorder="1" applyAlignment="1" applyProtection="1">
      <alignment horizontal="right" vertical="center" wrapText="1"/>
    </xf>
    <xf numFmtId="0" fontId="12" fillId="0" borderId="161" xfId="0" applyFont="1" applyBorder="1" applyAlignment="1" applyProtection="1">
      <alignment horizontal="right" vertical="center" wrapText="1"/>
    </xf>
    <xf numFmtId="0" fontId="12" fillId="0" borderId="162" xfId="0" applyFont="1" applyBorder="1" applyAlignment="1" applyProtection="1">
      <alignment horizontal="right" vertical="center" wrapText="1"/>
    </xf>
    <xf numFmtId="0" fontId="12" fillId="0" borderId="163" xfId="0" applyFont="1" applyBorder="1" applyAlignment="1">
      <alignment horizontal="right" vertical="center"/>
    </xf>
    <xf numFmtId="49" fontId="27" fillId="3" borderId="94" xfId="0" applyNumberFormat="1" applyFont="1" applyFill="1" applyBorder="1" applyAlignment="1" applyProtection="1">
      <alignment horizontal="center" vertical="center"/>
      <protection locked="0"/>
    </xf>
    <xf numFmtId="0" fontId="12" fillId="0" borderId="29" xfId="0" applyFont="1" applyBorder="1" applyAlignment="1" applyProtection="1">
      <alignment vertical="center"/>
      <protection locked="0"/>
    </xf>
    <xf numFmtId="0" fontId="14" fillId="0" borderId="21" xfId="0" applyFont="1" applyFill="1" applyBorder="1" applyAlignment="1" applyProtection="1">
      <alignment horizontal="right" vertical="center" wrapText="1"/>
    </xf>
    <xf numFmtId="0" fontId="14" fillId="0" borderId="21" xfId="0" applyFont="1" applyBorder="1" applyAlignment="1" applyProtection="1">
      <alignment horizontal="right" vertical="center"/>
    </xf>
    <xf numFmtId="0" fontId="14" fillId="0" borderId="21" xfId="0" applyFont="1" applyBorder="1" applyAlignment="1" applyProtection="1">
      <alignment horizontal="right" vertical="center" wrapText="1"/>
    </xf>
    <xf numFmtId="0" fontId="52" fillId="0" borderId="150" xfId="0" applyFont="1" applyFill="1" applyBorder="1" applyAlignment="1" applyProtection="1">
      <alignment horizontal="center" vertical="center" wrapText="1"/>
    </xf>
    <xf numFmtId="0" fontId="14" fillId="0" borderId="150" xfId="0" applyFont="1" applyBorder="1" applyAlignment="1" applyProtection="1">
      <alignment horizontal="center" vertical="center" wrapText="1"/>
    </xf>
    <xf numFmtId="0" fontId="14" fillId="0" borderId="138" xfId="0" applyFont="1" applyFill="1" applyBorder="1" applyAlignment="1" applyProtection="1">
      <alignment horizontal="right" vertical="center" wrapText="1"/>
    </xf>
    <xf numFmtId="0" fontId="14" fillId="0" borderId="138" xfId="0" applyFont="1" applyBorder="1" applyAlignment="1" applyProtection="1">
      <alignment horizontal="right" vertical="center"/>
    </xf>
    <xf numFmtId="0" fontId="14" fillId="0" borderId="137" xfId="0" applyFont="1" applyFill="1" applyBorder="1" applyAlignment="1" applyProtection="1">
      <alignment horizontal="right" vertical="center" wrapText="1"/>
    </xf>
    <xf numFmtId="0" fontId="14" fillId="0" borderId="137" xfId="0" applyFont="1" applyBorder="1" applyAlignment="1" applyProtection="1">
      <alignment horizontal="right" vertical="center" wrapText="1"/>
    </xf>
    <xf numFmtId="0" fontId="23" fillId="6" borderId="120" xfId="0" applyFont="1" applyFill="1" applyBorder="1" applyAlignment="1" applyProtection="1">
      <alignment horizontal="center" vertical="center" wrapText="1"/>
    </xf>
    <xf numFmtId="0" fontId="15" fillId="6" borderId="134" xfId="0" applyFont="1" applyFill="1" applyBorder="1" applyAlignment="1" applyProtection="1">
      <alignment horizontal="center" vertical="top" wrapText="1"/>
    </xf>
    <xf numFmtId="0" fontId="14" fillId="0" borderId="135" xfId="0" applyFont="1" applyBorder="1" applyAlignment="1" applyProtection="1">
      <alignment vertical="top"/>
    </xf>
    <xf numFmtId="173" fontId="15" fillId="10" borderId="98" xfId="0" applyNumberFormat="1" applyFont="1" applyFill="1" applyBorder="1" applyAlignment="1" applyProtection="1">
      <alignment horizontal="right" vertical="center" wrapText="1"/>
    </xf>
    <xf numFmtId="173" fontId="14" fillId="10" borderId="98" xfId="0" applyNumberFormat="1" applyFont="1" applyFill="1" applyBorder="1" applyAlignment="1" applyProtection="1">
      <alignment horizontal="right" vertical="center"/>
    </xf>
    <xf numFmtId="0" fontId="79" fillId="0" borderId="120" xfId="0" applyFont="1" applyFill="1" applyBorder="1" applyAlignment="1" applyProtection="1">
      <alignment horizontal="left" vertical="center" wrapText="1"/>
    </xf>
    <xf numFmtId="0" fontId="83" fillId="0" borderId="120" xfId="0" applyFont="1" applyBorder="1" applyAlignment="1">
      <alignment horizontal="left" vertical="center"/>
    </xf>
    <xf numFmtId="0" fontId="83" fillId="0" borderId="120" xfId="0" applyFont="1" applyBorder="1" applyAlignment="1">
      <alignment vertical="center"/>
    </xf>
    <xf numFmtId="173" fontId="15" fillId="0" borderId="72" xfId="0" applyNumberFormat="1" applyFont="1" applyFill="1" applyBorder="1" applyAlignment="1" applyProtection="1">
      <alignment horizontal="right" vertical="center" wrapText="1"/>
    </xf>
    <xf numFmtId="173" fontId="13" fillId="0" borderId="65" xfId="0" applyNumberFormat="1" applyFont="1" applyBorder="1" applyAlignment="1" applyProtection="1">
      <alignment horizontal="right" vertical="center" wrapText="1"/>
    </xf>
    <xf numFmtId="0" fontId="12" fillId="0" borderId="65" xfId="0" applyFont="1" applyBorder="1" applyAlignment="1">
      <alignment horizontal="right" vertical="center"/>
    </xf>
    <xf numFmtId="0" fontId="12" fillId="0" borderId="63" xfId="0" applyFont="1" applyBorder="1" applyAlignment="1">
      <alignment horizontal="right" vertical="center"/>
    </xf>
    <xf numFmtId="0" fontId="14" fillId="0" borderId="148" xfId="0" applyFont="1" applyFill="1" applyBorder="1" applyAlignment="1" applyProtection="1">
      <alignment horizontal="right" vertical="center" wrapText="1"/>
    </xf>
    <xf numFmtId="0" fontId="14" fillId="0" borderId="147" xfId="0" applyFont="1" applyFill="1" applyBorder="1" applyAlignment="1" applyProtection="1">
      <alignment horizontal="right" vertical="center" wrapText="1"/>
    </xf>
    <xf numFmtId="0" fontId="14" fillId="0" borderId="147" xfId="0" applyFont="1" applyBorder="1" applyAlignment="1">
      <alignment horizontal="right" vertical="center" wrapText="1"/>
    </xf>
    <xf numFmtId="173" fontId="14" fillId="0" borderId="154" xfId="0" applyNumberFormat="1" applyFont="1" applyFill="1" applyBorder="1" applyAlignment="1" applyProtection="1">
      <alignment horizontal="left" vertical="center" wrapText="1"/>
    </xf>
    <xf numFmtId="173" fontId="12" fillId="0" borderId="155" xfId="0" applyNumberFormat="1" applyFont="1" applyBorder="1" applyAlignment="1" applyProtection="1">
      <alignment horizontal="left" vertical="center" wrapText="1"/>
    </xf>
    <xf numFmtId="173" fontId="23" fillId="6" borderId="154" xfId="0" applyNumberFormat="1" applyFont="1" applyFill="1" applyBorder="1" applyAlignment="1" applyProtection="1">
      <alignment horizontal="center" vertical="center" wrapText="1"/>
    </xf>
    <xf numFmtId="173" fontId="12" fillId="0" borderId="155" xfId="0" applyNumberFormat="1" applyFont="1" applyBorder="1" applyAlignment="1" applyProtection="1">
      <alignment horizontal="center" vertical="center" wrapText="1"/>
    </xf>
    <xf numFmtId="0" fontId="12" fillId="0" borderId="156" xfId="0" applyFont="1" applyBorder="1" applyAlignment="1">
      <alignment horizontal="center" vertical="center" wrapText="1"/>
    </xf>
    <xf numFmtId="0" fontId="14" fillId="0" borderId="12" xfId="0" applyFont="1" applyBorder="1" applyAlignment="1" applyProtection="1">
      <alignment horizontal="right" vertical="center" wrapText="1"/>
    </xf>
    <xf numFmtId="0" fontId="14" fillId="0" borderId="2" xfId="0" applyFont="1" applyBorder="1" applyAlignment="1" applyProtection="1">
      <alignment horizontal="right" vertical="center" wrapText="1"/>
    </xf>
    <xf numFmtId="0" fontId="14" fillId="0" borderId="2" xfId="0" applyFont="1" applyBorder="1" applyAlignment="1">
      <alignment horizontal="right" vertical="center" wrapText="1"/>
    </xf>
    <xf numFmtId="0" fontId="14" fillId="0" borderId="136" xfId="0" applyFont="1" applyBorder="1" applyAlignment="1">
      <alignment horizontal="right" vertical="center" wrapText="1"/>
    </xf>
    <xf numFmtId="0" fontId="59" fillId="0" borderId="102" xfId="0" applyFont="1" applyFill="1" applyBorder="1" applyAlignment="1" applyProtection="1">
      <alignment horizontal="center" vertical="center" wrapText="1"/>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93" xfId="0" applyBorder="1" applyAlignment="1">
      <alignment horizontal="center" vertical="center" wrapText="1"/>
    </xf>
    <xf numFmtId="0" fontId="12" fillId="0" borderId="218" xfId="0" applyFont="1" applyBorder="1" applyAlignment="1" applyProtection="1">
      <alignment horizontal="right" vertical="center" wrapText="1"/>
    </xf>
    <xf numFmtId="0" fontId="0" fillId="0" borderId="50" xfId="0" applyBorder="1" applyAlignment="1"/>
    <xf numFmtId="0" fontId="36" fillId="6" borderId="72" xfId="0" applyFont="1" applyFill="1" applyBorder="1" applyAlignment="1" applyProtection="1">
      <alignment horizontal="center" vertical="center" wrapText="1"/>
    </xf>
    <xf numFmtId="0" fontId="87" fillId="0" borderId="65" xfId="0" applyFont="1" applyBorder="1" applyAlignment="1">
      <alignment horizontal="center" vertical="center" wrapText="1"/>
    </xf>
    <xf numFmtId="0" fontId="87" fillId="0" borderId="101" xfId="0" applyFont="1" applyBorder="1" applyAlignment="1">
      <alignment horizontal="center" vertical="center" wrapText="1"/>
    </xf>
    <xf numFmtId="0" fontId="62" fillId="0" borderId="4" xfId="0"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81" fillId="0" borderId="8" xfId="0" applyFont="1" applyFill="1" applyBorder="1" applyAlignment="1">
      <alignment vertical="center"/>
    </xf>
    <xf numFmtId="49" fontId="34" fillId="3" borderId="94" xfId="0" applyNumberFormat="1" applyFont="1" applyFill="1" applyBorder="1" applyAlignment="1" applyProtection="1">
      <alignment vertical="center"/>
      <protection locked="0"/>
    </xf>
    <xf numFmtId="0" fontId="50" fillId="0" borderId="44" xfId="0" applyFont="1" applyBorder="1" applyAlignment="1" applyProtection="1">
      <alignment vertical="center"/>
      <protection locked="0"/>
    </xf>
    <xf numFmtId="49" fontId="15" fillId="3" borderId="32" xfId="0" applyNumberFormat="1" applyFont="1" applyFill="1" applyBorder="1" applyAlignment="1" applyProtection="1">
      <alignment vertical="center"/>
      <protection locked="0"/>
    </xf>
    <xf numFmtId="0" fontId="13" fillId="0" borderId="93" xfId="0" applyFont="1" applyBorder="1" applyAlignment="1" applyProtection="1">
      <alignment vertical="center"/>
      <protection locked="0"/>
    </xf>
    <xf numFmtId="0" fontId="53" fillId="0" borderId="17"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0" xfId="0" applyFont="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xf>
    <xf numFmtId="0" fontId="12" fillId="0" borderId="1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8" xfId="0" applyFont="1" applyBorder="1" applyAlignment="1">
      <alignment vertical="center" wrapText="1"/>
    </xf>
    <xf numFmtId="49" fontId="15" fillId="3" borderId="124" xfId="0" applyNumberFormat="1" applyFont="1" applyFill="1" applyBorder="1" applyAlignment="1" applyProtection="1">
      <alignment horizontal="left" vertical="center"/>
    </xf>
    <xf numFmtId="0" fontId="0" fillId="0" borderId="1" xfId="0" applyBorder="1" applyAlignment="1">
      <alignment horizontal="left" vertical="center"/>
    </xf>
    <xf numFmtId="0" fontId="0" fillId="0" borderId="118" xfId="0" applyBorder="1" applyAlignment="1">
      <alignment horizontal="left" vertical="center"/>
    </xf>
    <xf numFmtId="49" fontId="15" fillId="3" borderId="21" xfId="0" applyNumberFormat="1" applyFont="1" applyFill="1" applyBorder="1" applyAlignment="1" applyProtection="1">
      <alignment horizontal="left" vertical="center"/>
    </xf>
    <xf numFmtId="0" fontId="12" fillId="0" borderId="21" xfId="0" applyFont="1" applyBorder="1" applyAlignment="1" applyProtection="1">
      <alignment horizontal="left" vertical="center"/>
    </xf>
    <xf numFmtId="49" fontId="34" fillId="3" borderId="94" xfId="0" applyNumberFormat="1" applyFont="1" applyFill="1" applyBorder="1" applyAlignment="1" applyProtection="1">
      <alignment vertical="center"/>
    </xf>
    <xf numFmtId="0" fontId="12" fillId="0" borderId="29" xfId="0" applyFont="1" applyBorder="1" applyAlignment="1" applyProtection="1">
      <alignment vertical="center"/>
    </xf>
    <xf numFmtId="49" fontId="15" fillId="3" borderId="32" xfId="0" applyNumberFormat="1" applyFont="1" applyFill="1" applyBorder="1" applyAlignment="1" applyProtection="1">
      <alignment horizontal="left" vertical="center"/>
    </xf>
    <xf numFmtId="49" fontId="15" fillId="3" borderId="24" xfId="0" applyNumberFormat="1" applyFont="1" applyFill="1" applyBorder="1" applyAlignment="1" applyProtection="1">
      <alignment horizontal="left" vertical="center"/>
    </xf>
    <xf numFmtId="49" fontId="15" fillId="3" borderId="25" xfId="0" applyNumberFormat="1" applyFont="1" applyFill="1" applyBorder="1" applyAlignment="1" applyProtection="1">
      <alignment horizontal="left" vertical="center"/>
    </xf>
    <xf numFmtId="0" fontId="87" fillId="0" borderId="65" xfId="0" applyFont="1" applyBorder="1" applyAlignment="1" applyProtection="1">
      <alignment horizontal="center" vertical="center" wrapText="1"/>
    </xf>
    <xf numFmtId="0" fontId="87" fillId="0" borderId="101" xfId="0" applyFont="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81" fillId="0" borderId="8" xfId="0" applyFont="1" applyFill="1" applyBorder="1" applyAlignment="1" applyProtection="1">
      <alignment vertical="center"/>
    </xf>
    <xf numFmtId="0" fontId="50" fillId="0" borderId="44" xfId="0" applyFont="1" applyBorder="1" applyAlignment="1" applyProtection="1">
      <alignment vertical="center"/>
    </xf>
    <xf numFmtId="49" fontId="15" fillId="3" borderId="32" xfId="0" applyNumberFormat="1" applyFont="1" applyFill="1" applyBorder="1" applyAlignment="1" applyProtection="1">
      <alignment vertical="center"/>
    </xf>
    <xf numFmtId="0" fontId="13" fillId="0" borderId="93" xfId="0" applyFont="1" applyBorder="1" applyAlignment="1" applyProtection="1">
      <alignment vertical="center"/>
    </xf>
    <xf numFmtId="0" fontId="53" fillId="0" borderId="17" xfId="0" applyFont="1" applyBorder="1" applyAlignment="1" applyProtection="1">
      <alignment horizontal="center" vertical="center" wrapText="1"/>
    </xf>
    <xf numFmtId="0" fontId="53" fillId="0" borderId="15" xfId="0" applyFont="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8" xfId="0" applyFont="1" applyBorder="1" applyAlignment="1" applyProtection="1">
      <alignment vertical="center" wrapText="1"/>
    </xf>
    <xf numFmtId="49" fontId="15" fillId="3" borderId="94" xfId="0" applyNumberFormat="1" applyFont="1" applyFill="1" applyBorder="1" applyAlignment="1" applyProtection="1">
      <alignment vertical="center"/>
    </xf>
    <xf numFmtId="0" fontId="12" fillId="0" borderId="44" xfId="0" applyFont="1" applyBorder="1" applyAlignment="1" applyProtection="1">
      <alignment vertical="center"/>
    </xf>
    <xf numFmtId="0" fontId="15" fillId="3" borderId="94" xfId="0" applyFont="1" applyFill="1" applyBorder="1" applyAlignment="1" applyProtection="1">
      <alignment vertical="center"/>
    </xf>
    <xf numFmtId="0" fontId="12" fillId="0" borderId="10" xfId="0" applyFont="1" applyBorder="1" applyAlignment="1" applyProtection="1">
      <alignment horizontal="right" vertical="center"/>
    </xf>
    <xf numFmtId="0" fontId="12" fillId="0" borderId="37" xfId="0" applyFont="1" applyBorder="1" applyAlignment="1" applyProtection="1">
      <alignment horizontal="right" vertical="center"/>
    </xf>
    <xf numFmtId="49" fontId="25" fillId="0" borderId="94" xfId="0" applyNumberFormat="1" applyFont="1" applyFill="1" applyBorder="1" applyAlignment="1" applyProtection="1">
      <alignment vertical="center"/>
    </xf>
    <xf numFmtId="0" fontId="54" fillId="0" borderId="44" xfId="0" applyFont="1" applyFill="1" applyBorder="1" applyAlignment="1" applyProtection="1">
      <alignment vertical="center"/>
    </xf>
    <xf numFmtId="0" fontId="82" fillId="0" borderId="43" xfId="0" applyFont="1" applyFill="1" applyBorder="1" applyAlignment="1" applyProtection="1">
      <alignment horizontal="center" vertical="center" wrapText="1"/>
    </xf>
    <xf numFmtId="0" fontId="82" fillId="0" borderId="18" xfId="0" applyFont="1" applyFill="1" applyBorder="1" applyAlignment="1" applyProtection="1">
      <alignment horizontal="center" vertical="center" wrapText="1"/>
    </xf>
    <xf numFmtId="0" fontId="82" fillId="0" borderId="8" xfId="0" applyFont="1" applyFill="1" applyBorder="1" applyAlignment="1" applyProtection="1">
      <alignment horizontal="center" vertical="center" wrapText="1"/>
    </xf>
    <xf numFmtId="0" fontId="82" fillId="0" borderId="32" xfId="0" applyFont="1" applyFill="1" applyBorder="1" applyAlignment="1" applyProtection="1">
      <alignment horizontal="center" vertical="center" wrapText="1"/>
    </xf>
    <xf numFmtId="0" fontId="82" fillId="0" borderId="93" xfId="0" applyFont="1" applyFill="1" applyBorder="1" applyAlignment="1" applyProtection="1">
      <alignment horizontal="center" vertical="center" wrapText="1"/>
    </xf>
    <xf numFmtId="0" fontId="27" fillId="0" borderId="51" xfId="0" applyFont="1" applyFill="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94" xfId="0" applyFont="1" applyBorder="1" applyAlignment="1" applyProtection="1">
      <alignment horizontal="center" vertical="center" wrapText="1"/>
    </xf>
    <xf numFmtId="0" fontId="12" fillId="0" borderId="51"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94" xfId="0" applyFont="1" applyBorder="1" applyAlignment="1" applyProtection="1">
      <alignment vertical="center" wrapText="1"/>
    </xf>
    <xf numFmtId="0" fontId="15" fillId="6" borderId="134" xfId="0" applyFont="1" applyFill="1" applyBorder="1" applyAlignment="1" applyProtection="1">
      <alignment horizontal="center" vertical="center" wrapText="1"/>
    </xf>
    <xf numFmtId="0" fontId="14" fillId="0" borderId="135" xfId="0" applyFont="1" applyBorder="1" applyAlignment="1" applyProtection="1">
      <alignment vertical="center"/>
    </xf>
    <xf numFmtId="0" fontId="15" fillId="6" borderId="151" xfId="0" applyFont="1" applyFill="1" applyBorder="1" applyAlignment="1" applyProtection="1">
      <alignment horizontal="center" vertical="center" wrapText="1"/>
    </xf>
    <xf numFmtId="0" fontId="14" fillId="0" borderId="84" xfId="0" applyFont="1" applyBorder="1" applyAlignment="1" applyProtection="1">
      <alignment horizontal="center" vertical="center" wrapText="1"/>
    </xf>
    <xf numFmtId="0" fontId="15" fillId="7" borderId="152" xfId="0" applyFont="1" applyFill="1" applyBorder="1" applyAlignment="1" applyProtection="1">
      <alignment horizontal="center" vertical="center" wrapText="1"/>
    </xf>
    <xf numFmtId="0" fontId="14" fillId="0" borderId="153" xfId="0" applyFont="1" applyBorder="1" applyAlignment="1" applyProtection="1">
      <alignment horizontal="center" vertical="center" wrapText="1"/>
    </xf>
    <xf numFmtId="0" fontId="14" fillId="0" borderId="85" xfId="0" applyFont="1" applyFill="1" applyBorder="1" applyAlignment="1" applyProtection="1">
      <alignment horizontal="right" vertical="center"/>
    </xf>
    <xf numFmtId="0" fontId="12" fillId="0" borderId="161" xfId="0" applyFont="1" applyBorder="1" applyAlignment="1" applyProtection="1">
      <alignment horizontal="right" vertical="center"/>
    </xf>
    <xf numFmtId="0" fontId="12" fillId="0" borderId="219" xfId="0" applyFont="1" applyBorder="1" applyAlignment="1" applyProtection="1">
      <alignment horizontal="right" vertical="center"/>
    </xf>
    <xf numFmtId="0" fontId="14" fillId="0" borderId="9" xfId="0" applyFont="1" applyFill="1" applyBorder="1" applyAlignment="1" applyProtection="1">
      <alignment horizontal="right" vertical="center" wrapText="1"/>
    </xf>
    <xf numFmtId="0" fontId="12" fillId="0" borderId="10" xfId="0" applyFont="1" applyBorder="1" applyAlignment="1" applyProtection="1">
      <alignment horizontal="right" vertical="center" wrapText="1"/>
    </xf>
    <xf numFmtId="0" fontId="12" fillId="0" borderId="28" xfId="0" applyFont="1" applyBorder="1" applyAlignment="1" applyProtection="1">
      <alignment horizontal="right" vertical="center" wrapText="1"/>
    </xf>
    <xf numFmtId="0" fontId="12" fillId="0" borderId="29" xfId="0" applyFont="1" applyBorder="1" applyAlignment="1" applyProtection="1">
      <alignment horizontal="right" vertical="center"/>
    </xf>
    <xf numFmtId="0" fontId="12" fillId="0" borderId="159" xfId="0" applyFont="1" applyBorder="1" applyAlignment="1" applyProtection="1">
      <alignment horizontal="right" vertical="center"/>
    </xf>
    <xf numFmtId="0" fontId="12" fillId="0" borderId="160" xfId="0" applyFont="1" applyBorder="1" applyAlignment="1" applyProtection="1">
      <alignment horizontal="right" vertical="center"/>
    </xf>
    <xf numFmtId="49" fontId="15" fillId="3" borderId="124" xfId="0" applyNumberFormat="1" applyFont="1" applyFill="1" applyBorder="1" applyAlignment="1" applyProtection="1">
      <alignment vertical="center"/>
    </xf>
    <xf numFmtId="0" fontId="12" fillId="0" borderId="118" xfId="0" applyFont="1" applyBorder="1" applyAlignment="1" applyProtection="1">
      <alignment vertical="center"/>
    </xf>
    <xf numFmtId="49" fontId="15" fillId="3" borderId="94" xfId="0" applyNumberFormat="1" applyFont="1" applyFill="1" applyBorder="1" applyAlignment="1" applyProtection="1">
      <alignment horizontal="left" vertical="center"/>
    </xf>
    <xf numFmtId="0" fontId="12" fillId="0" borderId="44" xfId="0" applyFont="1" applyBorder="1" applyAlignment="1" applyProtection="1">
      <alignment horizontal="left" vertical="center"/>
    </xf>
    <xf numFmtId="0" fontId="14" fillId="0" borderId="67" xfId="0" applyFont="1" applyFill="1" applyBorder="1" applyAlignment="1" applyProtection="1">
      <alignment horizontal="right" vertical="center" wrapText="1"/>
    </xf>
    <xf numFmtId="0" fontId="14" fillId="0" borderId="68" xfId="0" applyFont="1" applyBorder="1" applyAlignment="1" applyProtection="1">
      <alignment horizontal="right" vertical="center"/>
    </xf>
    <xf numFmtId="0" fontId="23" fillId="6" borderId="133" xfId="0" applyFont="1" applyFill="1" applyBorder="1" applyAlignment="1" applyProtection="1">
      <alignment horizontal="center" vertical="center" wrapText="1"/>
    </xf>
    <xf numFmtId="0" fontId="23" fillId="6" borderId="166" xfId="0" applyFont="1" applyFill="1" applyBorder="1" applyAlignment="1" applyProtection="1">
      <alignment horizontal="center" vertical="center" wrapText="1"/>
    </xf>
    <xf numFmtId="0" fontId="12" fillId="0" borderId="65" xfId="0" applyFont="1" applyBorder="1" applyAlignment="1" applyProtection="1">
      <alignment horizontal="right" vertical="center"/>
    </xf>
    <xf numFmtId="0" fontId="12" fillId="0" borderId="63" xfId="0" applyFont="1" applyBorder="1" applyAlignment="1" applyProtection="1">
      <alignment horizontal="right" vertical="center"/>
    </xf>
    <xf numFmtId="0" fontId="14" fillId="0" borderId="147" xfId="0" applyFont="1" applyBorder="1" applyAlignment="1" applyProtection="1">
      <alignment horizontal="right" vertical="center" wrapText="1"/>
    </xf>
    <xf numFmtId="0" fontId="12" fillId="0" borderId="156" xfId="0" applyFont="1" applyBorder="1" applyAlignment="1" applyProtection="1">
      <alignment horizontal="center" vertical="center" wrapText="1"/>
    </xf>
    <xf numFmtId="0" fontId="14" fillId="0" borderId="136" xfId="0" applyFont="1" applyBorder="1" applyAlignment="1" applyProtection="1">
      <alignment horizontal="right" vertical="center" wrapText="1"/>
    </xf>
    <xf numFmtId="0" fontId="12" fillId="10" borderId="20" xfId="0" applyFont="1" applyFill="1" applyBorder="1" applyAlignment="1" applyProtection="1">
      <alignment horizontal="right" vertical="center"/>
    </xf>
    <xf numFmtId="0" fontId="12" fillId="10" borderId="149" xfId="0" applyFont="1" applyFill="1" applyBorder="1" applyAlignment="1" applyProtection="1">
      <alignment horizontal="right" vertical="center"/>
    </xf>
    <xf numFmtId="173" fontId="15" fillId="0" borderId="154" xfId="0" applyNumberFormat="1" applyFont="1" applyFill="1" applyBorder="1" applyAlignment="1" applyProtection="1">
      <alignment horizontal="right" vertical="center" wrapText="1"/>
    </xf>
    <xf numFmtId="173" fontId="15" fillId="0" borderId="155" xfId="0" applyNumberFormat="1" applyFont="1" applyBorder="1" applyAlignment="1" applyProtection="1">
      <alignment horizontal="right" vertical="center" wrapText="1"/>
    </xf>
    <xf numFmtId="173" fontId="15" fillId="0" borderId="156" xfId="0" applyNumberFormat="1" applyFont="1" applyBorder="1" applyAlignment="1" applyProtection="1">
      <alignment horizontal="right" vertical="center" wrapText="1"/>
    </xf>
    <xf numFmtId="0" fontId="14" fillId="0" borderId="164" xfId="0" applyFont="1" applyFill="1" applyBorder="1" applyAlignment="1" applyProtection="1">
      <alignment horizontal="right" vertical="center" wrapText="1"/>
    </xf>
    <xf numFmtId="0" fontId="14" fillId="0" borderId="165" xfId="0" applyFont="1" applyBorder="1" applyAlignment="1" applyProtection="1">
      <alignment horizontal="right" vertical="center" wrapText="1"/>
    </xf>
    <xf numFmtId="0" fontId="14" fillId="0" borderId="46" xfId="0" applyFont="1" applyFill="1" applyBorder="1" applyAlignment="1" applyProtection="1">
      <alignment horizontal="right" vertical="center" wrapText="1"/>
    </xf>
    <xf numFmtId="0" fontId="14" fillId="0" borderId="28" xfId="0" applyFont="1" applyBorder="1" applyAlignment="1" applyProtection="1">
      <alignment horizontal="right" vertical="center"/>
    </xf>
    <xf numFmtId="173" fontId="14" fillId="10" borderId="20" xfId="0" applyNumberFormat="1" applyFont="1" applyFill="1" applyBorder="1" applyAlignment="1" applyProtection="1">
      <alignment horizontal="right" vertical="center"/>
    </xf>
    <xf numFmtId="0" fontId="79" fillId="0" borderId="133" xfId="0" applyFont="1" applyFill="1" applyBorder="1" applyAlignment="1" applyProtection="1">
      <alignment horizontal="left" vertical="center" wrapText="1"/>
    </xf>
    <xf numFmtId="0" fontId="83" fillId="0" borderId="166" xfId="0" applyFont="1" applyBorder="1" applyAlignment="1" applyProtection="1">
      <alignment horizontal="left" vertical="center"/>
    </xf>
    <xf numFmtId="0" fontId="83" fillId="0" borderId="64" xfId="0" applyFont="1" applyBorder="1" applyAlignment="1" applyProtection="1">
      <alignment vertical="center"/>
    </xf>
    <xf numFmtId="0" fontId="14" fillId="0" borderId="28" xfId="0" applyFont="1" applyBorder="1" applyAlignment="1" applyProtection="1">
      <alignment horizontal="right" vertical="center" wrapText="1"/>
    </xf>
    <xf numFmtId="0" fontId="52" fillId="0" borderId="154" xfId="0" applyFont="1" applyFill="1" applyBorder="1" applyAlignment="1" applyProtection="1">
      <alignment horizontal="center" vertical="center" wrapText="1"/>
    </xf>
    <xf numFmtId="0" fontId="14" fillId="0" borderId="155" xfId="0" applyFont="1" applyBorder="1" applyAlignment="1" applyProtection="1">
      <alignment horizontal="center" vertical="center" wrapText="1"/>
    </xf>
    <xf numFmtId="0" fontId="14" fillId="0" borderId="156" xfId="0" applyFont="1" applyBorder="1" applyAlignment="1" applyProtection="1">
      <alignment horizontal="center" vertical="center" wrapText="1"/>
    </xf>
    <xf numFmtId="0" fontId="49" fillId="0" borderId="0" xfId="0" applyFont="1" applyBorder="1" applyAlignment="1" applyProtection="1">
      <alignment horizontal="right" vertical="center"/>
    </xf>
    <xf numFmtId="0" fontId="12" fillId="0" borderId="0" xfId="0" applyFont="1" applyBorder="1" applyAlignment="1" applyProtection="1">
      <alignment horizontal="right" vertical="center"/>
    </xf>
    <xf numFmtId="49" fontId="31" fillId="0" borderId="21" xfId="0" applyNumberFormat="1" applyFont="1" applyBorder="1" applyAlignment="1" applyProtection="1">
      <alignment horizontal="left" vertical="center"/>
    </xf>
    <xf numFmtId="49" fontId="44" fillId="0" borderId="21" xfId="13" applyNumberFormat="1" applyFont="1" applyFill="1" applyBorder="1" applyAlignment="1" applyProtection="1">
      <alignment horizontal="left" vertical="center"/>
    </xf>
    <xf numFmtId="49" fontId="14" fillId="0" borderId="21" xfId="0" applyNumberFormat="1" applyFont="1" applyBorder="1" applyAlignment="1" applyProtection="1">
      <alignment horizontal="left" vertical="center"/>
    </xf>
    <xf numFmtId="49" fontId="14" fillId="0" borderId="7" xfId="0" applyNumberFormat="1" applyFont="1" applyBorder="1" applyAlignment="1" applyProtection="1">
      <alignment horizontal="left" vertical="center"/>
    </xf>
    <xf numFmtId="0" fontId="47" fillId="0" borderId="7" xfId="0" applyFont="1" applyBorder="1" applyAlignment="1" applyProtection="1">
      <alignment vertical="center"/>
    </xf>
    <xf numFmtId="49" fontId="31" fillId="0" borderId="69" xfId="0" applyNumberFormat="1" applyFont="1" applyBorder="1" applyAlignment="1" applyProtection="1">
      <alignment horizontal="left" vertical="center"/>
    </xf>
    <xf numFmtId="49" fontId="12" fillId="0" borderId="69" xfId="0" applyNumberFormat="1" applyFont="1" applyBorder="1" applyAlignment="1" applyProtection="1">
      <alignment horizontal="left" vertical="center"/>
    </xf>
    <xf numFmtId="49" fontId="14" fillId="0" borderId="69" xfId="0" applyNumberFormat="1" applyFont="1" applyBorder="1" applyAlignment="1" applyProtection="1">
      <alignment vertical="center"/>
    </xf>
    <xf numFmtId="49" fontId="12" fillId="0" borderId="69" xfId="0" applyNumberFormat="1" applyFont="1" applyBorder="1" applyAlignment="1" applyProtection="1">
      <alignment vertical="center"/>
    </xf>
    <xf numFmtId="0" fontId="31" fillId="0" borderId="65" xfId="0" quotePrefix="1" applyFont="1" applyFill="1" applyBorder="1" applyAlignment="1" applyProtection="1">
      <alignment horizontal="left" vertical="center" wrapText="1"/>
    </xf>
    <xf numFmtId="0" fontId="39" fillId="0" borderId="65" xfId="0" applyFont="1" applyBorder="1" applyAlignment="1" applyProtection="1">
      <alignment horizontal="left" vertical="center" wrapText="1"/>
    </xf>
    <xf numFmtId="49" fontId="31" fillId="0" borderId="26" xfId="0" applyNumberFormat="1" applyFont="1" applyFill="1" applyBorder="1" applyAlignment="1" applyProtection="1">
      <alignment horizontal="left" vertical="center"/>
    </xf>
    <xf numFmtId="49" fontId="12" fillId="0" borderId="26" xfId="0" applyNumberFormat="1" applyFont="1" applyBorder="1" applyAlignment="1" applyProtection="1">
      <alignment horizontal="left" vertical="center"/>
    </xf>
    <xf numFmtId="49" fontId="31" fillId="0" borderId="32" xfId="0" applyNumberFormat="1" applyFont="1" applyBorder="1" applyAlignment="1" applyProtection="1">
      <alignment horizontal="left" vertical="center"/>
    </xf>
    <xf numFmtId="49" fontId="31" fillId="0" borderId="10" xfId="0" applyNumberFormat="1" applyFont="1" applyBorder="1" applyAlignment="1" applyProtection="1">
      <alignment horizontal="left" vertical="center"/>
    </xf>
    <xf numFmtId="49" fontId="31" fillId="0" borderId="37" xfId="0" applyNumberFormat="1" applyFont="1" applyBorder="1" applyAlignment="1" applyProtection="1">
      <alignment horizontal="left" vertical="center"/>
    </xf>
    <xf numFmtId="49" fontId="31" fillId="0" borderId="69" xfId="0" applyNumberFormat="1" applyFont="1" applyBorder="1" applyAlignment="1" applyProtection="1">
      <alignment vertical="center"/>
    </xf>
    <xf numFmtId="0" fontId="14" fillId="0" borderId="115" xfId="0" applyFont="1" applyBorder="1" applyAlignment="1" applyProtection="1">
      <alignment vertical="center"/>
    </xf>
    <xf numFmtId="49" fontId="31" fillId="0" borderId="0" xfId="0" applyNumberFormat="1" applyFont="1" applyBorder="1" applyAlignment="1" applyProtection="1">
      <alignment vertical="center"/>
    </xf>
    <xf numFmtId="0" fontId="39" fillId="0" borderId="0" xfId="0" applyFont="1" applyBorder="1" applyAlignment="1" applyProtection="1">
      <alignment vertical="center"/>
    </xf>
    <xf numFmtId="49" fontId="31" fillId="0" borderId="7" xfId="0" applyNumberFormat="1" applyFont="1" applyBorder="1" applyAlignment="1" applyProtection="1">
      <alignment horizontal="left" vertical="center"/>
    </xf>
    <xf numFmtId="49" fontId="12" fillId="0" borderId="21" xfId="0" applyNumberFormat="1" applyFont="1" applyBorder="1" applyAlignment="1" applyProtection="1">
      <alignment horizontal="left" vertical="center"/>
    </xf>
    <xf numFmtId="49" fontId="31" fillId="0" borderId="21" xfId="0" applyNumberFormat="1" applyFont="1" applyBorder="1" applyAlignment="1" applyProtection="1">
      <alignment vertical="center"/>
    </xf>
    <xf numFmtId="49" fontId="12" fillId="0" borderId="21" xfId="0" applyNumberFormat="1" applyFont="1" applyBorder="1" applyAlignment="1" applyProtection="1">
      <alignment vertical="center"/>
    </xf>
    <xf numFmtId="0" fontId="31" fillId="0" borderId="7" xfId="0" applyNumberFormat="1" applyFont="1" applyBorder="1" applyAlignment="1" applyProtection="1">
      <alignment horizontal="left" vertical="center"/>
    </xf>
    <xf numFmtId="0" fontId="12" fillId="0" borderId="71" xfId="0" applyNumberFormat="1" applyFont="1" applyBorder="1" applyAlignment="1" applyProtection="1">
      <alignment vertical="center"/>
    </xf>
    <xf numFmtId="0" fontId="31" fillId="0" borderId="168" xfId="0" applyFont="1" applyBorder="1" applyAlignment="1" applyProtection="1">
      <alignment horizontal="left" vertical="center"/>
    </xf>
    <xf numFmtId="0" fontId="0" fillId="0" borderId="24" xfId="0" applyBorder="1" applyAlignment="1">
      <alignment vertical="center"/>
    </xf>
    <xf numFmtId="0" fontId="0" fillId="0" borderId="169" xfId="0" applyBorder="1" applyAlignment="1">
      <alignment vertical="center"/>
    </xf>
    <xf numFmtId="0" fontId="0" fillId="0" borderId="21" xfId="0" applyBorder="1" applyAlignment="1"/>
    <xf numFmtId="49" fontId="14" fillId="0" borderId="69" xfId="0" applyNumberFormat="1" applyFont="1" applyBorder="1" applyAlignment="1" applyProtection="1">
      <alignment horizontal="left" vertical="center"/>
    </xf>
    <xf numFmtId="49" fontId="14" fillId="0" borderId="115" xfId="0" applyNumberFormat="1" applyFont="1" applyBorder="1" applyAlignment="1" applyProtection="1">
      <alignment vertical="center"/>
    </xf>
    <xf numFmtId="0" fontId="31" fillId="0" borderId="21" xfId="0" applyFont="1" applyBorder="1" applyAlignment="1" applyProtection="1">
      <alignment horizontal="left" vertical="center"/>
    </xf>
    <xf numFmtId="0" fontId="12" fillId="0" borderId="21" xfId="0" applyFont="1" applyBorder="1" applyAlignment="1" applyProtection="1">
      <alignment vertical="center"/>
    </xf>
    <xf numFmtId="49" fontId="14" fillId="0" borderId="21" xfId="0" applyNumberFormat="1" applyFont="1" applyBorder="1" applyAlignment="1" applyProtection="1">
      <alignment vertical="center"/>
    </xf>
    <xf numFmtId="49" fontId="31" fillId="0" borderId="94" xfId="0" applyNumberFormat="1" applyFont="1" applyBorder="1" applyAlignment="1" applyProtection="1">
      <alignment horizontal="left" vertical="center"/>
    </xf>
    <xf numFmtId="0" fontId="0" fillId="0" borderId="44" xfId="0" applyBorder="1" applyAlignment="1">
      <alignment vertical="center"/>
    </xf>
    <xf numFmtId="49" fontId="31" fillId="0" borderId="21" xfId="0" applyNumberFormat="1" applyFont="1" applyFill="1" applyBorder="1" applyAlignment="1" applyProtection="1">
      <alignment horizontal="left" vertical="center"/>
    </xf>
    <xf numFmtId="49" fontId="12" fillId="0" borderId="45" xfId="0" applyNumberFormat="1" applyFont="1" applyBorder="1" applyAlignment="1" applyProtection="1">
      <alignment vertical="center"/>
    </xf>
    <xf numFmtId="0" fontId="70" fillId="0" borderId="21" xfId="0" applyFont="1" applyFill="1" applyBorder="1" applyAlignment="1" applyProtection="1">
      <alignment horizontal="center" vertical="center" wrapText="1"/>
    </xf>
    <xf numFmtId="0" fontId="1" fillId="0" borderId="45" xfId="0" applyFont="1" applyBorder="1" applyAlignment="1" applyProtection="1">
      <alignment vertical="center"/>
    </xf>
    <xf numFmtId="0" fontId="4" fillId="13" borderId="4" xfId="0" applyFont="1" applyFill="1" applyBorder="1" applyAlignment="1" applyProtection="1">
      <alignment horizontal="left" vertical="center" wrapText="1"/>
    </xf>
    <xf numFmtId="0" fontId="4" fillId="13" borderId="0" xfId="0" applyFont="1" applyFill="1" applyBorder="1" applyAlignment="1" applyProtection="1">
      <alignment horizontal="left" vertical="center"/>
    </xf>
    <xf numFmtId="0" fontId="12" fillId="13" borderId="4" xfId="0" applyFont="1" applyFill="1" applyBorder="1" applyAlignment="1" applyProtection="1">
      <alignment horizontal="left" vertical="center"/>
    </xf>
    <xf numFmtId="0" fontId="12" fillId="13"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50" fillId="0" borderId="15" xfId="0" applyFont="1" applyBorder="1" applyAlignment="1" applyProtection="1">
      <alignment horizontal="left" vertical="center"/>
    </xf>
    <xf numFmtId="0" fontId="69" fillId="3" borderId="15" xfId="13" applyFont="1" applyFill="1" applyBorder="1" applyAlignment="1" applyProtection="1">
      <alignment horizontal="left" vertical="center" wrapText="1"/>
      <protection locked="0"/>
    </xf>
    <xf numFmtId="0" fontId="95" fillId="0" borderId="15" xfId="0" applyFont="1" applyBorder="1" applyAlignment="1" applyProtection="1">
      <alignment horizontal="left" vertical="center" wrapText="1"/>
      <protection locked="0"/>
    </xf>
    <xf numFmtId="0" fontId="95" fillId="0" borderId="43" xfId="0" applyFont="1" applyBorder="1" applyAlignment="1" applyProtection="1">
      <alignment horizontal="left" vertical="center" wrapText="1"/>
      <protection locked="0"/>
    </xf>
    <xf numFmtId="0" fontId="95" fillId="0" borderId="5" xfId="0" applyFont="1" applyBorder="1" applyAlignment="1" applyProtection="1">
      <alignment horizontal="left" vertical="center" wrapText="1"/>
      <protection locked="0"/>
    </xf>
    <xf numFmtId="0" fontId="95" fillId="0" borderId="34" xfId="0" applyFont="1" applyBorder="1" applyAlignment="1" applyProtection="1">
      <alignment horizontal="left" vertical="center" wrapText="1"/>
      <protection locked="0"/>
    </xf>
    <xf numFmtId="49" fontId="15" fillId="0" borderId="4" xfId="0" applyNumberFormat="1" applyFont="1" applyFill="1" applyBorder="1" applyAlignment="1" applyProtection="1">
      <alignment horizontal="right" vertical="center"/>
    </xf>
    <xf numFmtId="49" fontId="12" fillId="0" borderId="22" xfId="0" applyNumberFormat="1" applyFont="1" applyBorder="1" applyAlignment="1" applyProtection="1">
      <alignment horizontal="right" vertical="center"/>
    </xf>
    <xf numFmtId="49" fontId="39" fillId="0" borderId="0" xfId="0" applyNumberFormat="1" applyFont="1" applyBorder="1" applyAlignment="1" applyProtection="1">
      <alignment vertical="center"/>
    </xf>
    <xf numFmtId="0" fontId="15" fillId="0" borderId="4" xfId="0" applyFont="1" applyBorder="1" applyAlignment="1" applyProtection="1">
      <alignment horizontal="right" vertical="center"/>
    </xf>
    <xf numFmtId="0" fontId="12" fillId="0" borderId="22" xfId="0" applyFont="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0" fillId="0" borderId="29" xfId="0" applyBorder="1" applyAlignment="1">
      <alignment vertical="center" wrapText="1"/>
    </xf>
    <xf numFmtId="178" fontId="31" fillId="0" borderId="26" xfId="0" applyNumberFormat="1" applyFont="1" applyBorder="1" applyAlignment="1" applyProtection="1">
      <alignment horizontal="left" vertical="center"/>
    </xf>
    <xf numFmtId="178" fontId="31" fillId="0" borderId="26" xfId="0" applyNumberFormat="1" applyFont="1" applyBorder="1" applyAlignment="1" applyProtection="1">
      <alignment vertical="center"/>
    </xf>
    <xf numFmtId="49" fontId="31" fillId="0" borderId="5" xfId="0" applyNumberFormat="1" applyFont="1" applyBorder="1" applyAlignment="1" applyProtection="1">
      <alignment vertical="center"/>
    </xf>
    <xf numFmtId="0" fontId="39" fillId="0" borderId="5" xfId="0" applyFont="1" applyBorder="1" applyAlignment="1" applyProtection="1">
      <alignment vertical="center"/>
    </xf>
    <xf numFmtId="0" fontId="15" fillId="0" borderId="11" xfId="0" applyFont="1" applyBorder="1" applyAlignment="1" applyProtection="1">
      <alignment horizontal="right" vertical="center"/>
    </xf>
    <xf numFmtId="0" fontId="12" fillId="0" borderId="6" xfId="0" applyFont="1" applyBorder="1" applyAlignment="1" applyProtection="1">
      <alignment horizontal="right" vertical="center"/>
    </xf>
    <xf numFmtId="49" fontId="15" fillId="0" borderId="4" xfId="0" applyNumberFormat="1" applyFont="1" applyBorder="1" applyAlignment="1" applyProtection="1">
      <alignment horizontal="right" vertical="center"/>
    </xf>
    <xf numFmtId="174" fontId="31" fillId="0" borderId="69" xfId="0" applyNumberFormat="1" applyFont="1" applyBorder="1" applyAlignment="1" applyProtection="1">
      <alignment horizontal="left" vertical="center"/>
    </xf>
    <xf numFmtId="0" fontId="31" fillId="0" borderId="69" xfId="0" applyFont="1" applyBorder="1" applyAlignment="1" applyProtection="1">
      <alignment vertical="center"/>
    </xf>
    <xf numFmtId="9" fontId="5" fillId="13" borderId="4" xfId="0" applyNumberFormat="1" applyFont="1" applyFill="1" applyBorder="1" applyAlignment="1" applyProtection="1">
      <alignment horizontal="left" vertical="center" wrapText="1"/>
    </xf>
    <xf numFmtId="0" fontId="4" fillId="13" borderId="0" xfId="0" applyFont="1" applyFill="1" applyBorder="1" applyAlignment="1" applyProtection="1">
      <alignment horizontal="left" vertical="center" wrapText="1"/>
    </xf>
    <xf numFmtId="0" fontId="12" fillId="13" borderId="0" xfId="0" applyFont="1" applyFill="1" applyBorder="1" applyAlignment="1" applyProtection="1">
      <alignment vertical="center" wrapText="1"/>
    </xf>
    <xf numFmtId="0" fontId="12" fillId="13" borderId="4" xfId="0" applyFont="1" applyFill="1" applyBorder="1" applyAlignment="1" applyProtection="1">
      <alignment vertical="center"/>
    </xf>
    <xf numFmtId="0" fontId="12" fillId="13" borderId="0" xfId="0" applyFont="1" applyFill="1" applyBorder="1" applyAlignment="1" applyProtection="1">
      <alignment vertical="center"/>
    </xf>
    <xf numFmtId="49" fontId="31" fillId="0" borderId="26" xfId="0" applyNumberFormat="1" applyFont="1" applyBorder="1" applyAlignment="1" applyProtection="1">
      <alignment horizontal="left" vertical="center"/>
    </xf>
    <xf numFmtId="49" fontId="12" fillId="0" borderId="26" xfId="0" applyNumberFormat="1" applyFont="1" applyBorder="1" applyAlignment="1" applyProtection="1">
      <alignment vertical="center"/>
    </xf>
    <xf numFmtId="49" fontId="52" fillId="0" borderId="69" xfId="0" applyNumberFormat="1" applyFont="1" applyBorder="1" applyAlignment="1" applyProtection="1">
      <alignment horizontal="left" vertical="center"/>
    </xf>
    <xf numFmtId="49" fontId="12" fillId="0" borderId="115" xfId="0" applyNumberFormat="1" applyFont="1" applyBorder="1" applyAlignment="1" applyProtection="1">
      <alignment vertical="center"/>
    </xf>
    <xf numFmtId="0" fontId="15" fillId="0" borderId="59" xfId="0" applyFont="1" applyFill="1" applyBorder="1" applyAlignment="1" applyProtection="1">
      <alignment horizontal="right" vertical="center"/>
    </xf>
    <xf numFmtId="0" fontId="14" fillId="0" borderId="5" xfId="0" applyFont="1" applyBorder="1" applyAlignment="1" applyProtection="1">
      <alignment vertical="center"/>
    </xf>
    <xf numFmtId="9" fontId="4" fillId="13" borderId="4" xfId="0" applyNumberFormat="1" applyFont="1" applyFill="1" applyBorder="1" applyAlignment="1" applyProtection="1">
      <alignment vertical="center" wrapText="1"/>
    </xf>
    <xf numFmtId="0" fontId="12" fillId="13" borderId="4" xfId="0" applyFont="1" applyFill="1" applyBorder="1" applyAlignment="1" applyProtection="1">
      <alignment vertical="center" wrapText="1"/>
    </xf>
    <xf numFmtId="0" fontId="15" fillId="0" borderId="11" xfId="0" applyFont="1" applyFill="1" applyBorder="1" applyAlignment="1" applyProtection="1">
      <alignment horizontal="left" vertical="center" wrapText="1"/>
    </xf>
    <xf numFmtId="0" fontId="14" fillId="0" borderId="5" xfId="0" applyFont="1" applyBorder="1" applyAlignment="1" applyProtection="1">
      <alignment horizontal="left" vertical="center" wrapText="1"/>
    </xf>
    <xf numFmtId="166" fontId="18" fillId="3" borderId="108" xfId="0" applyNumberFormat="1" applyFont="1" applyFill="1" applyBorder="1" applyAlignment="1" applyProtection="1">
      <alignment vertical="center"/>
      <protection locked="0"/>
    </xf>
    <xf numFmtId="166" fontId="1" fillId="0" borderId="167" xfId="0" applyNumberFormat="1" applyFont="1" applyBorder="1" applyAlignment="1" applyProtection="1">
      <alignment vertical="center"/>
      <protection locked="0"/>
    </xf>
    <xf numFmtId="166" fontId="5" fillId="0" borderId="94" xfId="0" applyNumberFormat="1" applyFont="1" applyFill="1" applyBorder="1" applyAlignment="1" applyProtection="1">
      <alignment horizontal="right" vertical="center"/>
    </xf>
    <xf numFmtId="166" fontId="5" fillId="0" borderId="29" xfId="0" applyNumberFormat="1" applyFont="1" applyFill="1" applyBorder="1" applyAlignment="1" applyProtection="1">
      <alignment horizontal="right" vertical="center"/>
    </xf>
    <xf numFmtId="0" fontId="12" fillId="13" borderId="9" xfId="0" applyFont="1" applyFill="1" applyBorder="1" applyAlignment="1" applyProtection="1">
      <alignment vertical="center" wrapText="1"/>
    </xf>
    <xf numFmtId="0" fontId="12" fillId="13" borderId="10" xfId="0" applyFont="1" applyFill="1" applyBorder="1" applyAlignment="1" applyProtection="1">
      <alignment vertical="center" wrapText="1"/>
    </xf>
    <xf numFmtId="166" fontId="5" fillId="0" borderId="21" xfId="0" applyNumberFormat="1" applyFont="1" applyFill="1" applyBorder="1" applyAlignment="1" applyProtection="1">
      <alignment horizontal="left" vertical="center"/>
    </xf>
    <xf numFmtId="0" fontId="0" fillId="0" borderId="21" xfId="0" applyBorder="1" applyAlignment="1">
      <alignment horizontal="left" vertical="center"/>
    </xf>
    <xf numFmtId="166" fontId="5" fillId="0" borderId="94" xfId="0" applyNumberFormat="1" applyFont="1" applyFill="1" applyBorder="1" applyAlignment="1" applyProtection="1">
      <alignment horizontal="left" vertical="center"/>
    </xf>
    <xf numFmtId="0" fontId="0" fillId="0" borderId="29" xfId="0" applyBorder="1" applyAlignment="1">
      <alignment horizontal="left" vertical="center"/>
    </xf>
    <xf numFmtId="166" fontId="18" fillId="3" borderId="124" xfId="0" applyNumberFormat="1" applyFont="1" applyFill="1" applyBorder="1" applyAlignment="1" applyProtection="1">
      <alignment vertical="center"/>
      <protection locked="0"/>
    </xf>
    <xf numFmtId="0" fontId="0" fillId="0" borderId="73" xfId="0" applyBorder="1" applyAlignment="1">
      <alignment vertical="center"/>
    </xf>
    <xf numFmtId="166" fontId="5" fillId="0" borderId="69" xfId="0" applyNumberFormat="1" applyFont="1" applyFill="1" applyBorder="1" applyAlignment="1" applyProtection="1">
      <alignment vertical="center"/>
    </xf>
    <xf numFmtId="166" fontId="1" fillId="0" borderId="115" xfId="0" applyNumberFormat="1" applyFont="1" applyFill="1" applyBorder="1" applyAlignment="1" applyProtection="1">
      <alignment vertical="center"/>
    </xf>
    <xf numFmtId="166" fontId="12" fillId="0" borderId="73" xfId="0" applyNumberFormat="1" applyFont="1" applyBorder="1" applyAlignment="1" applyProtection="1">
      <alignment vertical="center"/>
      <protection locked="0"/>
    </xf>
    <xf numFmtId="166" fontId="4" fillId="0" borderId="29" xfId="0" applyNumberFormat="1" applyFont="1" applyBorder="1" applyAlignment="1" applyProtection="1">
      <alignment horizontal="right" vertical="center"/>
    </xf>
    <xf numFmtId="0" fontId="12" fillId="0" borderId="29" xfId="0" applyFont="1" applyBorder="1" applyAlignment="1" applyProtection="1">
      <alignment horizontal="center" vertical="center" wrapText="1"/>
    </xf>
    <xf numFmtId="166" fontId="5" fillId="0" borderId="21" xfId="0" applyNumberFormat="1" applyFont="1" applyFill="1" applyBorder="1" applyAlignment="1" applyProtection="1">
      <alignment horizontal="right" vertical="center"/>
    </xf>
    <xf numFmtId="166" fontId="1" fillId="0" borderId="45" xfId="0" applyNumberFormat="1" applyFont="1" applyBorder="1" applyAlignment="1" applyProtection="1">
      <alignment horizontal="right" vertical="center"/>
    </xf>
    <xf numFmtId="184" fontId="31" fillId="0" borderId="0" xfId="0" applyNumberFormat="1" applyFont="1" applyBorder="1" applyAlignment="1" applyProtection="1">
      <alignment horizontal="left" vertical="center"/>
    </xf>
    <xf numFmtId="184" fontId="0" fillId="0" borderId="0" xfId="0" applyNumberFormat="1" applyBorder="1" applyAlignment="1">
      <alignment horizontal="left" vertical="center"/>
    </xf>
    <xf numFmtId="0" fontId="15" fillId="0" borderId="4" xfId="0" applyFont="1" applyFill="1" applyBorder="1" applyAlignment="1" applyProtection="1">
      <alignment horizontal="right" vertical="center"/>
    </xf>
    <xf numFmtId="0" fontId="15" fillId="0" borderId="168" xfId="0" applyFont="1" applyBorder="1" applyAlignment="1" applyProtection="1">
      <alignment horizontal="right" vertical="center"/>
    </xf>
    <xf numFmtId="0" fontId="12" fillId="0" borderId="169" xfId="0" applyFont="1" applyBorder="1" applyAlignment="1" applyProtection="1">
      <alignment horizontal="right" vertical="center"/>
    </xf>
    <xf numFmtId="0" fontId="15" fillId="0" borderId="0" xfId="0" applyFont="1" applyBorder="1" applyAlignment="1" applyProtection="1">
      <alignment horizontal="right" vertical="center"/>
    </xf>
    <xf numFmtId="0" fontId="31" fillId="0" borderId="21" xfId="0" applyFont="1" applyBorder="1" applyAlignment="1" applyProtection="1">
      <alignment vertical="center"/>
    </xf>
    <xf numFmtId="0" fontId="12" fillId="0" borderId="69" xfId="0" applyFont="1" applyBorder="1" applyAlignment="1" applyProtection="1">
      <alignment horizontal="left" vertical="center"/>
    </xf>
    <xf numFmtId="49" fontId="31" fillId="0" borderId="38" xfId="0" applyNumberFormat="1" applyFont="1" applyFill="1" applyBorder="1" applyAlignment="1" applyProtection="1">
      <alignment horizontal="left" vertical="center"/>
    </xf>
    <xf numFmtId="0" fontId="12" fillId="0" borderId="38" xfId="0" applyFont="1" applyBorder="1" applyAlignment="1" applyProtection="1">
      <alignment horizontal="left" vertical="center"/>
    </xf>
    <xf numFmtId="0" fontId="15" fillId="0" borderId="0" xfId="0" applyFont="1" applyBorder="1" applyAlignment="1" applyProtection="1">
      <alignment vertical="center"/>
    </xf>
    <xf numFmtId="9" fontId="4" fillId="0" borderId="4" xfId="0" applyNumberFormat="1" applyFont="1" applyFill="1" applyBorder="1" applyAlignment="1" applyProtection="1">
      <alignment vertical="center" wrapText="1"/>
    </xf>
    <xf numFmtId="0" fontId="12" fillId="0" borderId="4" xfId="0" applyFont="1" applyBorder="1" applyAlignment="1" applyProtection="1">
      <alignment vertical="center" wrapText="1"/>
    </xf>
    <xf numFmtId="9" fontId="5" fillId="0" borderId="4"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2" fillId="0" borderId="9" xfId="0" applyFont="1" applyBorder="1" applyAlignment="1" applyProtection="1">
      <alignment vertical="center" wrapText="1"/>
    </xf>
    <xf numFmtId="0" fontId="12" fillId="0" borderId="10" xfId="0" applyFont="1" applyBorder="1" applyAlignment="1" applyProtection="1">
      <alignment vertical="center" wrapText="1"/>
    </xf>
    <xf numFmtId="0" fontId="12" fillId="0" borderId="10" xfId="0" applyFont="1" applyBorder="1" applyAlignment="1" applyProtection="1">
      <alignment vertical="center"/>
    </xf>
    <xf numFmtId="0" fontId="12" fillId="0" borderId="4" xfId="0" applyFont="1" applyBorder="1" applyAlignment="1" applyProtection="1">
      <alignment vertical="center"/>
    </xf>
    <xf numFmtId="0" fontId="4" fillId="0" borderId="4"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0" fontId="15" fillId="0" borderId="11" xfId="0" applyFont="1" applyFill="1" applyBorder="1" applyAlignment="1" applyProtection="1">
      <alignment horizontal="left" vertical="center"/>
    </xf>
    <xf numFmtId="0" fontId="14" fillId="0" borderId="5" xfId="0" applyFont="1" applyBorder="1" applyAlignment="1" applyProtection="1">
      <alignment horizontal="left" vertical="center"/>
    </xf>
    <xf numFmtId="0" fontId="15" fillId="0" borderId="5" xfId="0" applyFont="1" applyFill="1" applyBorder="1" applyAlignment="1" applyProtection="1">
      <alignment horizontal="right" vertical="center"/>
    </xf>
    <xf numFmtId="0" fontId="14" fillId="0" borderId="0" xfId="0" applyFont="1" applyBorder="1" applyAlignment="1" applyProtection="1">
      <alignment vertical="center"/>
    </xf>
    <xf numFmtId="178" fontId="31" fillId="0" borderId="21" xfId="0" applyNumberFormat="1" applyFont="1" applyBorder="1" applyAlignment="1" applyProtection="1">
      <alignment horizontal="left" vertical="center"/>
    </xf>
    <xf numFmtId="178" fontId="31" fillId="0" borderId="21" xfId="0" applyNumberFormat="1" applyFont="1" applyBorder="1" applyAlignment="1" applyProtection="1">
      <alignment vertical="center"/>
    </xf>
    <xf numFmtId="0" fontId="31" fillId="0" borderId="26" xfId="0" applyFont="1" applyBorder="1" applyAlignment="1" applyProtection="1">
      <alignment horizontal="left" vertical="center"/>
    </xf>
    <xf numFmtId="0" fontId="12" fillId="0" borderId="26" xfId="0" applyFont="1" applyBorder="1" applyAlignment="1" applyProtection="1">
      <alignment vertical="center"/>
    </xf>
    <xf numFmtId="49" fontId="31" fillId="0" borderId="7" xfId="0" applyNumberFormat="1" applyFont="1" applyBorder="1" applyAlignment="1" applyProtection="1">
      <alignment vertical="center"/>
    </xf>
    <xf numFmtId="0" fontId="12" fillId="0" borderId="7" xfId="0" applyFont="1" applyBorder="1" applyAlignment="1" applyProtection="1">
      <alignment vertical="center"/>
    </xf>
    <xf numFmtId="0" fontId="31" fillId="0" borderId="69" xfId="0" applyFont="1" applyBorder="1" applyAlignment="1" applyProtection="1">
      <alignment horizontal="left" vertical="center"/>
    </xf>
    <xf numFmtId="0" fontId="14" fillId="0" borderId="69" xfId="0" applyFont="1" applyBorder="1" applyAlignment="1" applyProtection="1">
      <alignment horizontal="left" vertical="center"/>
    </xf>
    <xf numFmtId="0" fontId="31" fillId="0" borderId="21" xfId="0" applyNumberFormat="1" applyFont="1" applyBorder="1" applyAlignment="1" applyProtection="1">
      <alignment horizontal="left" vertical="center"/>
    </xf>
    <xf numFmtId="0" fontId="31" fillId="0" borderId="45" xfId="0" applyNumberFormat="1" applyFont="1" applyBorder="1" applyAlignment="1" applyProtection="1">
      <alignment horizontal="left" vertical="center"/>
    </xf>
    <xf numFmtId="0" fontId="44" fillId="0" borderId="21" xfId="13" applyFont="1" applyFill="1" applyBorder="1" applyAlignment="1" applyProtection="1">
      <alignment horizontal="left" vertical="center"/>
    </xf>
    <xf numFmtId="0" fontId="14" fillId="0" borderId="21" xfId="0" applyFont="1" applyBorder="1" applyAlignment="1" applyProtection="1">
      <alignment horizontal="left" vertical="center"/>
    </xf>
    <xf numFmtId="0" fontId="14" fillId="0" borderId="21" xfId="0" applyFont="1" applyBorder="1" applyAlignment="1" applyProtection="1">
      <alignment vertical="center"/>
    </xf>
    <xf numFmtId="0" fontId="39" fillId="0" borderId="69" xfId="0" applyFont="1" applyBorder="1" applyAlignment="1" applyProtection="1">
      <alignment vertical="center"/>
    </xf>
    <xf numFmtId="0" fontId="31" fillId="0" borderId="5" xfId="0" quotePrefix="1" applyFont="1" applyFill="1" applyBorder="1" applyAlignment="1" applyProtection="1">
      <alignment horizontal="left" vertical="center"/>
    </xf>
    <xf numFmtId="0" fontId="39" fillId="0" borderId="5" xfId="0" applyFont="1" applyBorder="1" applyAlignment="1" applyProtection="1">
      <alignment horizontal="left" vertical="center"/>
    </xf>
    <xf numFmtId="0" fontId="44" fillId="0" borderId="21" xfId="13" applyNumberFormat="1" applyFont="1" applyFill="1" applyBorder="1" applyAlignment="1" applyProtection="1">
      <alignment horizontal="left" vertical="center"/>
    </xf>
    <xf numFmtId="0" fontId="31" fillId="0" borderId="38" xfId="0" applyFont="1" applyBorder="1" applyAlignment="1" applyProtection="1">
      <alignment horizontal="left" vertical="center"/>
    </xf>
    <xf numFmtId="0" fontId="14" fillId="0" borderId="38" xfId="0" applyFont="1" applyBorder="1" applyAlignment="1" applyProtection="1">
      <alignment vertical="center"/>
    </xf>
    <xf numFmtId="0" fontId="12" fillId="0" borderId="69" xfId="0" applyFont="1" applyBorder="1" applyAlignment="1" applyProtection="1">
      <alignment vertical="center"/>
    </xf>
    <xf numFmtId="0" fontId="12" fillId="0" borderId="45" xfId="0" applyFont="1" applyBorder="1" applyAlignment="1" applyProtection="1">
      <alignment vertical="center"/>
    </xf>
    <xf numFmtId="0" fontId="75" fillId="3" borderId="13" xfId="13"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0" fillId="0" borderId="0" xfId="0" applyFont="1" applyBorder="1" applyAlignment="1" applyProtection="1">
      <alignment horizontal="center" vertical="center"/>
    </xf>
    <xf numFmtId="0" fontId="31" fillId="0" borderId="94" xfId="0" applyFont="1" applyBorder="1" applyAlignment="1" applyProtection="1">
      <alignment horizontal="left" vertical="center"/>
    </xf>
    <xf numFmtId="0" fontId="12" fillId="0" borderId="28" xfId="0" applyFont="1" applyBorder="1" applyAlignment="1" applyProtection="1">
      <alignment horizontal="left" vertical="center"/>
    </xf>
    <xf numFmtId="0" fontId="12" fillId="0" borderId="29" xfId="0" applyFont="1" applyBorder="1" applyAlignment="1" applyProtection="1">
      <alignment horizontal="left" vertical="center"/>
    </xf>
    <xf numFmtId="0" fontId="12" fillId="0" borderId="115" xfId="0" applyFont="1" applyBorder="1" applyAlignment="1" applyProtection="1">
      <alignment vertical="center"/>
    </xf>
    <xf numFmtId="1" fontId="31" fillId="0" borderId="7" xfId="0" applyNumberFormat="1" applyFont="1" applyBorder="1" applyAlignment="1" applyProtection="1">
      <alignment horizontal="left" vertical="center"/>
    </xf>
    <xf numFmtId="166" fontId="4" fillId="0" borderId="45" xfId="0" applyNumberFormat="1" applyFont="1" applyBorder="1" applyAlignment="1" applyProtection="1">
      <alignment horizontal="right" vertical="center"/>
    </xf>
    <xf numFmtId="178" fontId="31" fillId="0" borderId="7" xfId="0" applyNumberFormat="1" applyFont="1" applyBorder="1" applyAlignment="1" applyProtection="1">
      <alignment horizontal="left" vertical="center"/>
    </xf>
    <xf numFmtId="0" fontId="12" fillId="0" borderId="71" xfId="0" applyFont="1" applyBorder="1" applyAlignment="1" applyProtection="1">
      <alignment vertical="center"/>
    </xf>
    <xf numFmtId="0" fontId="31" fillId="0" borderId="21" xfId="0" applyFont="1" applyFill="1" applyBorder="1" applyAlignment="1" applyProtection="1">
      <alignment horizontal="left" vertical="center"/>
    </xf>
    <xf numFmtId="49" fontId="71" fillId="9" borderId="72" xfId="0" applyNumberFormat="1" applyFont="1" applyFill="1" applyBorder="1" applyAlignment="1" applyProtection="1">
      <alignment horizontal="center" vertical="center"/>
    </xf>
    <xf numFmtId="0" fontId="0" fillId="0" borderId="65" xfId="0" applyBorder="1" applyAlignment="1">
      <alignment vertical="center"/>
    </xf>
    <xf numFmtId="166" fontId="12" fillId="0" borderId="115" xfId="0" applyNumberFormat="1" applyFont="1" applyFill="1" applyBorder="1" applyAlignment="1" applyProtection="1">
      <alignment vertical="center"/>
    </xf>
    <xf numFmtId="0" fontId="38" fillId="0" borderId="4" xfId="0" applyFont="1" applyBorder="1" applyAlignment="1" applyProtection="1">
      <alignment horizontal="right" vertical="center" wrapText="1"/>
    </xf>
    <xf numFmtId="0" fontId="38" fillId="0" borderId="0" xfId="0" applyFont="1" applyBorder="1" applyAlignment="1" applyProtection="1">
      <alignment horizontal="right" vertical="center" wrapText="1"/>
    </xf>
    <xf numFmtId="0" fontId="38" fillId="0" borderId="22" xfId="0" applyFont="1" applyBorder="1" applyAlignment="1" applyProtection="1">
      <alignment horizontal="right" vertical="center" wrapText="1"/>
    </xf>
    <xf numFmtId="0" fontId="16" fillId="0" borderId="0" xfId="0" applyFont="1" applyBorder="1" applyAlignment="1" applyProtection="1">
      <alignment horizontal="right" vertical="center"/>
    </xf>
    <xf numFmtId="0" fontId="4" fillId="0" borderId="22" xfId="0" applyFont="1" applyBorder="1" applyAlignment="1" applyProtection="1">
      <alignment horizontal="right" vertical="center"/>
    </xf>
    <xf numFmtId="0" fontId="14" fillId="0" borderId="0" xfId="0" applyFont="1" applyBorder="1" applyAlignment="1">
      <alignment horizontal="right" vertical="center"/>
    </xf>
    <xf numFmtId="14" fontId="14" fillId="3" borderId="94" xfId="0" applyNumberFormat="1" applyFont="1" applyFill="1" applyBorder="1" applyAlignment="1" applyProtection="1">
      <alignment vertical="center"/>
      <protection locked="0"/>
    </xf>
    <xf numFmtId="14" fontId="14" fillId="3" borderId="28" xfId="0" applyNumberFormat="1" applyFont="1" applyFill="1" applyBorder="1" applyAlignment="1" applyProtection="1">
      <alignment vertical="center"/>
      <protection locked="0"/>
    </xf>
    <xf numFmtId="14" fontId="14" fillId="3" borderId="44" xfId="0" applyNumberFormat="1" applyFont="1" applyFill="1" applyBorder="1" applyAlignment="1" applyProtection="1">
      <alignment vertical="center"/>
      <protection locked="0"/>
    </xf>
    <xf numFmtId="0" fontId="1" fillId="0" borderId="0" xfId="0" applyFont="1" applyAlignment="1" applyProtection="1">
      <alignment horizontal="justify" vertical="center" wrapText="1"/>
      <protection locked="0"/>
    </xf>
    <xf numFmtId="0" fontId="116" fillId="0" borderId="0" xfId="0" applyFont="1" applyAlignment="1" applyProtection="1">
      <alignment wrapText="1"/>
      <protection locked="0"/>
    </xf>
    <xf numFmtId="0" fontId="7" fillId="0" borderId="0" xfId="0" applyFont="1" applyAlignment="1" applyProtection="1">
      <alignment horizontal="right"/>
      <protection locked="0"/>
    </xf>
    <xf numFmtId="0" fontId="98" fillId="0" borderId="0" xfId="0" applyFont="1" applyAlignment="1" applyProtection="1">
      <alignment horizontal="right"/>
      <protection locked="0"/>
    </xf>
    <xf numFmtId="180" fontId="1" fillId="0" borderId="0" xfId="0" applyNumberFormat="1" applyFont="1" applyAlignment="1" applyProtection="1">
      <alignment horizontal="center"/>
      <protection locked="0"/>
    </xf>
    <xf numFmtId="180" fontId="95" fillId="0" borderId="0" xfId="0" applyNumberFormat="1" applyFont="1" applyAlignment="1" applyProtection="1">
      <alignment horizontal="center"/>
      <protection locked="0"/>
    </xf>
    <xf numFmtId="0" fontId="1" fillId="14" borderId="91" xfId="0" applyFont="1" applyFill="1" applyBorder="1" applyAlignment="1" applyProtection="1">
      <alignment horizontal="center"/>
      <protection locked="0"/>
    </xf>
    <xf numFmtId="0" fontId="1" fillId="14" borderId="188" xfId="0" applyFont="1" applyFill="1" applyBorder="1" applyAlignment="1" applyProtection="1">
      <alignment horizontal="center"/>
      <protection locked="0"/>
    </xf>
    <xf numFmtId="0" fontId="1" fillId="0" borderId="32" xfId="0" applyFont="1" applyBorder="1" applyAlignment="1" applyProtection="1">
      <alignment horizontal="center"/>
      <protection locked="0"/>
    </xf>
    <xf numFmtId="0" fontId="0" fillId="0" borderId="37" xfId="0" applyBorder="1" applyAlignment="1" applyProtection="1">
      <protection locked="0"/>
    </xf>
    <xf numFmtId="0" fontId="1" fillId="0" borderId="37" xfId="0" applyFont="1" applyBorder="1" applyAlignment="1" applyProtection="1">
      <alignment horizontal="center"/>
      <protection locked="0"/>
    </xf>
    <xf numFmtId="0" fontId="1" fillId="0" borderId="196" xfId="0" applyFont="1" applyBorder="1" applyAlignment="1" applyProtection="1">
      <alignment horizontal="center"/>
      <protection locked="0"/>
    </xf>
    <xf numFmtId="0" fontId="1" fillId="0" borderId="197" xfId="0" quotePrefix="1" applyFont="1" applyBorder="1" applyAlignment="1" applyProtection="1">
      <alignment horizontal="center"/>
      <protection locked="0"/>
    </xf>
    <xf numFmtId="0" fontId="7" fillId="0" borderId="203" xfId="0" applyFont="1" applyBorder="1" applyAlignment="1" applyProtection="1">
      <alignment horizontal="center"/>
      <protection locked="0"/>
    </xf>
    <xf numFmtId="0" fontId="7" fillId="0" borderId="29" xfId="0" applyFont="1" applyBorder="1" applyAlignment="1" applyProtection="1">
      <alignment horizontal="center"/>
      <protection locked="0"/>
    </xf>
    <xf numFmtId="0" fontId="7" fillId="0" borderId="94" xfId="0" applyFont="1" applyBorder="1" applyAlignment="1" applyProtection="1">
      <alignment horizontal="center"/>
      <protection locked="0"/>
    </xf>
    <xf numFmtId="0" fontId="0" fillId="0" borderId="29" xfId="0" applyBorder="1" applyAlignment="1" applyProtection="1">
      <protection locked="0"/>
    </xf>
    <xf numFmtId="190" fontId="7" fillId="0" borderId="215" xfId="0" applyNumberFormat="1" applyFont="1" applyBorder="1" applyAlignment="1" applyProtection="1">
      <alignment horizontal="center"/>
      <protection locked="0"/>
    </xf>
    <xf numFmtId="0" fontId="7" fillId="0" borderId="166" xfId="0" applyFont="1" applyBorder="1" applyAlignment="1" applyProtection="1">
      <alignment horizontal="center"/>
      <protection locked="0"/>
    </xf>
    <xf numFmtId="0" fontId="7" fillId="0" borderId="64" xfId="0" applyFont="1" applyBorder="1" applyAlignment="1" applyProtection="1">
      <alignment horizontal="center"/>
      <protection locked="0"/>
    </xf>
    <xf numFmtId="0" fontId="1" fillId="0" borderId="166" xfId="0" applyFont="1" applyBorder="1" applyAlignment="1" applyProtection="1">
      <alignment horizontal="center"/>
      <protection locked="0"/>
    </xf>
    <xf numFmtId="0" fontId="1" fillId="0" borderId="64" xfId="0" applyFont="1" applyBorder="1" applyAlignment="1" applyProtection="1">
      <alignment horizontal="center"/>
      <protection locked="0"/>
    </xf>
    <xf numFmtId="0" fontId="13" fillId="0" borderId="11" xfId="0" applyFont="1" applyBorder="1" applyAlignment="1">
      <alignment horizontal="right" vertical="center"/>
    </xf>
    <xf numFmtId="0" fontId="13" fillId="0" borderId="5" xfId="0" applyFont="1" applyBorder="1" applyAlignment="1">
      <alignment horizontal="right" vertical="center"/>
    </xf>
    <xf numFmtId="1" fontId="13" fillId="0" borderId="5" xfId="0" applyNumberFormat="1" applyFont="1" applyBorder="1" applyAlignment="1" applyProtection="1">
      <alignment horizontal="right" vertical="center"/>
    </xf>
    <xf numFmtId="0" fontId="0" fillId="0" borderId="5" xfId="0" applyBorder="1" applyAlignment="1">
      <alignment horizontal="right" vertical="center"/>
    </xf>
    <xf numFmtId="0" fontId="15" fillId="0" borderId="94" xfId="0" applyFont="1" applyBorder="1" applyAlignment="1">
      <alignment horizontal="center" vertical="center" wrapText="1"/>
    </xf>
    <xf numFmtId="0" fontId="0" fillId="0" borderId="29" xfId="0" applyBorder="1" applyAlignment="1">
      <alignment horizontal="center" vertical="center" wrapText="1"/>
    </xf>
    <xf numFmtId="0" fontId="15" fillId="0" borderId="21" xfId="0" applyFont="1" applyBorder="1" applyAlignment="1">
      <alignment horizontal="center" vertical="center"/>
    </xf>
    <xf numFmtId="0" fontId="7" fillId="0" borderId="147" xfId="0" applyFont="1" applyBorder="1" applyAlignment="1">
      <alignment horizontal="center"/>
    </xf>
    <xf numFmtId="0" fontId="98" fillId="0" borderId="147" xfId="0" applyFont="1" applyBorder="1" applyAlignment="1">
      <alignment horizontal="center"/>
    </xf>
    <xf numFmtId="0" fontId="7" fillId="0" borderId="48" xfId="0" applyFont="1" applyBorder="1" applyAlignment="1">
      <alignment horizontal="center" vertical="center" wrapText="1"/>
    </xf>
    <xf numFmtId="0" fontId="0" fillId="0" borderId="50" xfId="0" applyBorder="1" applyAlignment="1">
      <alignment horizontal="center" vertical="center" wrapText="1"/>
    </xf>
    <xf numFmtId="0" fontId="7" fillId="0" borderId="26" xfId="0" applyFont="1" applyBorder="1" applyAlignment="1">
      <alignment horizontal="center" vertical="center" wrapText="1"/>
    </xf>
    <xf numFmtId="0" fontId="98" fillId="0" borderId="7" xfId="0" applyFont="1" applyBorder="1" applyAlignment="1">
      <alignment horizontal="center" vertical="center" wrapText="1"/>
    </xf>
    <xf numFmtId="0" fontId="0" fillId="0" borderId="7" xfId="0" applyBorder="1" applyAlignment="1">
      <alignment horizontal="center" vertical="center"/>
    </xf>
    <xf numFmtId="0" fontId="15" fillId="0" borderId="38" xfId="0" applyFont="1" applyBorder="1" applyAlignment="1">
      <alignment horizontal="center" vertical="center" wrapText="1"/>
    </xf>
    <xf numFmtId="0" fontId="0" fillId="0" borderId="7" xfId="0" applyBorder="1" applyAlignment="1">
      <alignment wrapText="1"/>
    </xf>
    <xf numFmtId="0" fontId="15" fillId="0" borderId="74" xfId="0" applyFont="1" applyBorder="1" applyAlignment="1">
      <alignment horizontal="center" vertical="center" wrapText="1"/>
    </xf>
    <xf numFmtId="0" fontId="0" fillId="0" borderId="71" xfId="0" applyBorder="1" applyAlignment="1"/>
    <xf numFmtId="0" fontId="15" fillId="0" borderId="21" xfId="0" applyFont="1" applyBorder="1" applyAlignment="1">
      <alignment horizontal="center" vertical="center" wrapText="1"/>
    </xf>
    <xf numFmtId="0" fontId="14" fillId="0" borderId="94"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7" fillId="0" borderId="134" xfId="0" applyFont="1" applyFill="1" applyBorder="1" applyAlignment="1">
      <alignment horizontal="center" wrapText="1"/>
    </xf>
    <xf numFmtId="0" fontId="98" fillId="0" borderId="38" xfId="0" applyFont="1" applyBorder="1" applyAlignment="1">
      <alignment wrapText="1"/>
    </xf>
    <xf numFmtId="0" fontId="7" fillId="0" borderId="21" xfId="0" applyFont="1" applyBorder="1" applyAlignment="1">
      <alignment horizontal="center" vertical="center" wrapText="1"/>
    </xf>
    <xf numFmtId="0" fontId="0" fillId="0" borderId="21" xfId="0" applyBorder="1" applyAlignment="1">
      <alignment wrapText="1"/>
    </xf>
    <xf numFmtId="0" fontId="0" fillId="0" borderId="29" xfId="0" applyBorder="1" applyAlignment="1">
      <alignment wrapText="1"/>
    </xf>
    <xf numFmtId="0" fontId="7" fillId="0" borderId="94" xfId="0" applyFont="1" applyBorder="1" applyAlignment="1">
      <alignment horizontal="center" vertical="center" wrapText="1"/>
    </xf>
    <xf numFmtId="0" fontId="7" fillId="0" borderId="29" xfId="0" applyFont="1" applyBorder="1" applyAlignment="1">
      <alignment horizontal="center" vertical="center" wrapText="1"/>
    </xf>
    <xf numFmtId="0" fontId="15" fillId="0" borderId="17" xfId="0" applyFont="1" applyBorder="1" applyAlignment="1">
      <alignment horizontal="right" vertical="center"/>
    </xf>
    <xf numFmtId="0" fontId="15" fillId="0" borderId="15" xfId="0" applyFont="1" applyBorder="1" applyAlignment="1">
      <alignment horizontal="right" vertical="center"/>
    </xf>
    <xf numFmtId="0" fontId="15" fillId="0" borderId="33" xfId="0" applyFont="1" applyBorder="1" applyAlignment="1">
      <alignment horizontal="right" vertic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8" fillId="3" borderId="42" xfId="0" applyFont="1" applyFill="1" applyBorder="1" applyAlignment="1" applyProtection="1">
      <alignment vertical="center"/>
      <protection locked="0"/>
    </xf>
    <xf numFmtId="0" fontId="18" fillId="3" borderId="103"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5"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1" fontId="7" fillId="0" borderId="0" xfId="0" applyNumberFormat="1" applyFont="1" applyBorder="1" applyAlignment="1">
      <alignment horizontal="right" vertical="center"/>
    </xf>
    <xf numFmtId="0" fontId="12" fillId="0" borderId="94" xfId="0" applyFont="1" applyBorder="1" applyAlignment="1">
      <alignment vertical="center"/>
    </xf>
    <xf numFmtId="0" fontId="12" fillId="0" borderId="29" xfId="0" applyFont="1" applyBorder="1" applyAlignment="1">
      <alignment vertical="center"/>
    </xf>
    <xf numFmtId="0" fontId="18" fillId="3" borderId="39" xfId="0" applyFont="1" applyFill="1" applyBorder="1" applyAlignment="1" applyProtection="1">
      <alignment vertical="center"/>
      <protection locked="0"/>
    </xf>
    <xf numFmtId="0" fontId="18" fillId="3" borderId="105" xfId="0" applyFont="1" applyFill="1" applyBorder="1" applyAlignment="1" applyProtection="1">
      <alignment vertical="center"/>
      <protection locked="0"/>
    </xf>
    <xf numFmtId="0" fontId="1" fillId="0" borderId="0" xfId="0" applyFont="1" applyFill="1" applyBorder="1" applyAlignment="1">
      <alignment horizontal="left"/>
    </xf>
    <xf numFmtId="0" fontId="1" fillId="0" borderId="22"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32" xfId="0" applyFont="1" applyBorder="1" applyAlignment="1"/>
    <xf numFmtId="0" fontId="12" fillId="0" borderId="10" xfId="0" applyFont="1" applyBorder="1" applyAlignment="1"/>
    <xf numFmtId="0" fontId="7" fillId="0" borderId="0" xfId="0" applyFont="1" applyFill="1" applyBorder="1" applyAlignment="1">
      <alignment horizontal="center"/>
    </xf>
    <xf numFmtId="0" fontId="7" fillId="0" borderId="9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7" xfId="0" applyFont="1" applyBorder="1" applyAlignment="1">
      <alignment horizontal="center" vertical="center" wrapText="1"/>
    </xf>
    <xf numFmtId="0" fontId="7" fillId="0" borderId="4" xfId="0" applyFont="1" applyBorder="1" applyAlignment="1">
      <alignment horizontal="center" textRotation="180"/>
    </xf>
    <xf numFmtId="0" fontId="112" fillId="0" borderId="4" xfId="0" applyFont="1" applyBorder="1" applyAlignment="1">
      <alignment horizontal="center" textRotation="180"/>
    </xf>
    <xf numFmtId="0" fontId="112" fillId="0" borderId="9" xfId="0" applyFont="1" applyBorder="1" applyAlignment="1">
      <alignment horizontal="center" textRotation="180"/>
    </xf>
    <xf numFmtId="0" fontId="12" fillId="0" borderId="11" xfId="0" applyFont="1" applyBorder="1" applyAlignment="1">
      <alignment horizontal="right" vertical="center"/>
    </xf>
    <xf numFmtId="0" fontId="12" fillId="0" borderId="5" xfId="0" applyFont="1" applyBorder="1" applyAlignment="1">
      <alignment horizontal="right" vertical="center"/>
    </xf>
    <xf numFmtId="0" fontId="18" fillId="3" borderId="30" xfId="0" applyFont="1" applyFill="1" applyBorder="1" applyAlignment="1" applyProtection="1">
      <alignment vertical="center"/>
      <protection locked="0"/>
    </xf>
    <xf numFmtId="0" fontId="18" fillId="3" borderId="104" xfId="0" applyFont="1" applyFill="1" applyBorder="1" applyAlignment="1" applyProtection="1">
      <alignment vertical="center"/>
      <protection locked="0"/>
    </xf>
    <xf numFmtId="0" fontId="13" fillId="0" borderId="4" xfId="0" applyFont="1" applyBorder="1" applyAlignment="1">
      <alignment horizontal="right" vertical="center"/>
    </xf>
    <xf numFmtId="0" fontId="13" fillId="0" borderId="0" xfId="0" applyFont="1" applyBorder="1" applyAlignment="1">
      <alignment horizontal="right" vertical="center"/>
    </xf>
    <xf numFmtId="1" fontId="13" fillId="0" borderId="0" xfId="0" applyNumberFormat="1" applyFont="1" applyBorder="1" applyAlignment="1" applyProtection="1">
      <alignment horizontal="right" vertical="center"/>
    </xf>
    <xf numFmtId="0" fontId="0" fillId="0" borderId="0" xfId="0" applyAlignment="1">
      <alignment horizontal="right" vertical="center"/>
    </xf>
    <xf numFmtId="0" fontId="12" fillId="0" borderId="9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8" fillId="3" borderId="106" xfId="0" applyFont="1" applyFill="1" applyBorder="1" applyAlignment="1" applyProtection="1">
      <alignment vertical="center"/>
      <protection locked="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7"/>
    <cellStyle name="Percent" xfId="15" builtinId="5"/>
    <cellStyle name="Total" xfId="16" builtinId="25" customBuiltin="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4449"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845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5</xdr:col>
      <xdr:colOff>247650</xdr:colOff>
      <xdr:row>2</xdr:row>
      <xdr:rowOff>95250</xdr:rowOff>
    </xdr:to>
    <xdr:pic>
      <xdr:nvPicPr>
        <xdr:cNvPr id="1536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38100"/>
          <a:ext cx="2609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57150</xdr:rowOff>
    </xdr:from>
    <xdr:to>
      <xdr:col>4</xdr:col>
      <xdr:colOff>342900</xdr:colOff>
      <xdr:row>2</xdr:row>
      <xdr:rowOff>152400</xdr:rowOff>
    </xdr:to>
    <xdr:pic>
      <xdr:nvPicPr>
        <xdr:cNvPr id="1639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57150"/>
          <a:ext cx="2419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17"/>
  <sheetViews>
    <sheetView zoomScale="75" zoomScaleNormal="100" zoomScaleSheetLayoutView="100" workbookViewId="0">
      <selection activeCell="A44" sqref="A44:D44"/>
    </sheetView>
  </sheetViews>
  <sheetFormatPr defaultRowHeight="15" x14ac:dyDescent="0.25"/>
  <cols>
    <col min="1" max="1" width="3.4140625" customWidth="1"/>
    <col min="2" max="2" width="74.4140625" customWidth="1"/>
  </cols>
  <sheetData>
    <row r="1" spans="1:2" ht="31.2" x14ac:dyDescent="0.25">
      <c r="A1" s="250"/>
      <c r="B1" s="11" t="s">
        <v>209</v>
      </c>
    </row>
    <row r="2" spans="1:2" x14ac:dyDescent="0.25">
      <c r="A2" s="250"/>
      <c r="B2" s="266"/>
    </row>
    <row r="3" spans="1:2" x14ac:dyDescent="0.25">
      <c r="A3" s="250"/>
      <c r="B3" s="250"/>
    </row>
    <row r="4" spans="1:2" ht="15.6" x14ac:dyDescent="0.25">
      <c r="A4" s="250"/>
      <c r="B4" s="11" t="s">
        <v>120</v>
      </c>
    </row>
    <row r="5" spans="1:2" x14ac:dyDescent="0.25">
      <c r="A5" s="250"/>
      <c r="B5" s="250"/>
    </row>
    <row r="6" spans="1:2" ht="15.6" x14ac:dyDescent="0.25">
      <c r="A6" s="250"/>
      <c r="B6" s="11" t="s">
        <v>117</v>
      </c>
    </row>
    <row r="7" spans="1:2" ht="15.6" x14ac:dyDescent="0.25">
      <c r="A7" s="250"/>
      <c r="B7" s="11"/>
    </row>
    <row r="8" spans="1:2" ht="45" x14ac:dyDescent="0.25">
      <c r="A8" s="253">
        <v>1</v>
      </c>
      <c r="B8" s="251" t="s">
        <v>181</v>
      </c>
    </row>
    <row r="9" spans="1:2" x14ac:dyDescent="0.25">
      <c r="A9" s="253"/>
      <c r="B9" s="250"/>
    </row>
    <row r="10" spans="1:2" ht="75" x14ac:dyDescent="0.25">
      <c r="A10" s="253">
        <v>2</v>
      </c>
      <c r="B10" s="254" t="s">
        <v>344</v>
      </c>
    </row>
    <row r="11" spans="1:2" x14ac:dyDescent="0.25">
      <c r="A11" s="253"/>
      <c r="B11" s="249"/>
    </row>
    <row r="12" spans="1:2" ht="45" x14ac:dyDescent="0.25">
      <c r="A12" s="253">
        <v>3</v>
      </c>
      <c r="B12" s="250" t="s">
        <v>182</v>
      </c>
    </row>
    <row r="13" spans="1:2" x14ac:dyDescent="0.25">
      <c r="A13" s="253"/>
      <c r="B13" s="250"/>
    </row>
    <row r="14" spans="1:2" ht="30" x14ac:dyDescent="0.25">
      <c r="A14" s="253">
        <v>4</v>
      </c>
      <c r="B14" s="250" t="s">
        <v>183</v>
      </c>
    </row>
    <row r="15" spans="1:2" x14ac:dyDescent="0.25">
      <c r="A15" s="253"/>
      <c r="B15" s="250"/>
    </row>
    <row r="16" spans="1:2" ht="30" x14ac:dyDescent="0.25">
      <c r="A16" s="253">
        <v>5</v>
      </c>
      <c r="B16" s="249" t="s">
        <v>184</v>
      </c>
    </row>
    <row r="17" spans="1:2" x14ac:dyDescent="0.25">
      <c r="A17" s="253"/>
      <c r="B17" s="249"/>
    </row>
    <row r="18" spans="1:2" ht="30" x14ac:dyDescent="0.25">
      <c r="A18" s="253">
        <v>6</v>
      </c>
      <c r="B18" s="250" t="s">
        <v>185</v>
      </c>
    </row>
    <row r="19" spans="1:2" x14ac:dyDescent="0.25">
      <c r="A19" s="253"/>
      <c r="B19" s="250"/>
    </row>
    <row r="20" spans="1:2" ht="75" x14ac:dyDescent="0.25">
      <c r="A20" s="253">
        <v>7</v>
      </c>
      <c r="B20" s="251" t="s">
        <v>186</v>
      </c>
    </row>
    <row r="21" spans="1:2" x14ac:dyDescent="0.25">
      <c r="A21" s="253"/>
      <c r="B21" s="250"/>
    </row>
    <row r="22" spans="1:2" ht="30" x14ac:dyDescent="0.25">
      <c r="A22" s="253">
        <v>8</v>
      </c>
      <c r="B22" s="250" t="s">
        <v>118</v>
      </c>
    </row>
    <row r="23" spans="1:2" x14ac:dyDescent="0.25">
      <c r="A23" s="253"/>
      <c r="B23" s="250"/>
    </row>
    <row r="24" spans="1:2" ht="46.8" x14ac:dyDescent="0.25">
      <c r="A24" s="253">
        <v>9</v>
      </c>
      <c r="B24" s="11" t="s">
        <v>210</v>
      </c>
    </row>
    <row r="25" spans="1:2" ht="15.6" x14ac:dyDescent="0.25">
      <c r="A25" s="253"/>
      <c r="B25" s="11"/>
    </row>
    <row r="26" spans="1:2" ht="62.4" x14ac:dyDescent="0.25">
      <c r="A26" s="253">
        <v>10</v>
      </c>
      <c r="B26" s="255" t="s">
        <v>180</v>
      </c>
    </row>
    <row r="27" spans="1:2" ht="15.6" x14ac:dyDescent="0.25">
      <c r="A27" s="253"/>
      <c r="B27" s="11"/>
    </row>
    <row r="28" spans="1:2" ht="30" x14ac:dyDescent="0.25">
      <c r="A28" s="253">
        <v>11</v>
      </c>
      <c r="B28" s="250" t="s">
        <v>115</v>
      </c>
    </row>
    <row r="29" spans="1:2" x14ac:dyDescent="0.25">
      <c r="A29" s="253"/>
      <c r="B29" s="250"/>
    </row>
    <row r="30" spans="1:2" ht="30" x14ac:dyDescent="0.25">
      <c r="A30" s="253">
        <v>12</v>
      </c>
      <c r="B30" s="251" t="s">
        <v>187</v>
      </c>
    </row>
    <row r="31" spans="1:2" x14ac:dyDescent="0.25">
      <c r="A31" s="253"/>
      <c r="B31" s="251"/>
    </row>
    <row r="32" spans="1:2" x14ac:dyDescent="0.25">
      <c r="A32" s="253">
        <v>13</v>
      </c>
      <c r="B32" s="251" t="s">
        <v>188</v>
      </c>
    </row>
    <row r="33" spans="1:2" x14ac:dyDescent="0.25">
      <c r="A33" s="253"/>
      <c r="B33" s="250"/>
    </row>
    <row r="34" spans="1:2" ht="31.2" x14ac:dyDescent="0.25">
      <c r="A34" s="253">
        <v>14</v>
      </c>
      <c r="B34" s="11" t="s">
        <v>189</v>
      </c>
    </row>
    <row r="35" spans="1:2" x14ac:dyDescent="0.25">
      <c r="A35" s="253"/>
      <c r="B35" s="250"/>
    </row>
    <row r="36" spans="1:2" x14ac:dyDescent="0.25">
      <c r="A36" s="253"/>
      <c r="B36" s="250"/>
    </row>
    <row r="37" spans="1:2" ht="15.6" x14ac:dyDescent="0.25">
      <c r="A37" s="253"/>
      <c r="B37" s="11" t="s">
        <v>112</v>
      </c>
    </row>
    <row r="38" spans="1:2" x14ac:dyDescent="0.25">
      <c r="A38" s="253"/>
      <c r="B38" s="250"/>
    </row>
    <row r="39" spans="1:2" x14ac:dyDescent="0.25">
      <c r="A39" s="253">
        <v>1</v>
      </c>
      <c r="B39" s="250" t="s">
        <v>113</v>
      </c>
    </row>
    <row r="40" spans="1:2" x14ac:dyDescent="0.25">
      <c r="A40" s="253"/>
      <c r="B40" s="250"/>
    </row>
    <row r="41" spans="1:2" ht="31.2" x14ac:dyDescent="0.25">
      <c r="A41" s="253">
        <v>2</v>
      </c>
      <c r="B41" s="252" t="s">
        <v>190</v>
      </c>
    </row>
    <row r="42" spans="1:2" x14ac:dyDescent="0.25">
      <c r="A42" s="253"/>
      <c r="B42" s="250"/>
    </row>
    <row r="43" spans="1:2" x14ac:dyDescent="0.25">
      <c r="A43" s="253">
        <v>3</v>
      </c>
      <c r="B43" s="250" t="s">
        <v>191</v>
      </c>
    </row>
    <row r="44" spans="1:2" x14ac:dyDescent="0.25">
      <c r="A44" s="253"/>
      <c r="B44" s="250"/>
    </row>
    <row r="45" spans="1:2" ht="30" x14ac:dyDescent="0.25">
      <c r="A45" s="253">
        <v>4</v>
      </c>
      <c r="B45" s="249" t="s">
        <v>109</v>
      </c>
    </row>
    <row r="46" spans="1:2" x14ac:dyDescent="0.25">
      <c r="A46" s="253"/>
      <c r="B46" s="250"/>
    </row>
    <row r="47" spans="1:2" ht="31.2" x14ac:dyDescent="0.25">
      <c r="A47" s="253">
        <v>5</v>
      </c>
      <c r="B47" s="252" t="s">
        <v>114</v>
      </c>
    </row>
    <row r="48" spans="1:2" x14ac:dyDescent="0.25">
      <c r="A48" s="253"/>
      <c r="B48" s="250"/>
    </row>
    <row r="49" spans="1:2" x14ac:dyDescent="0.25">
      <c r="A49" s="734">
        <f>A47+1</f>
        <v>6</v>
      </c>
      <c r="B49" s="735" t="s">
        <v>340</v>
      </c>
    </row>
    <row r="50" spans="1:2" x14ac:dyDescent="0.25">
      <c r="A50" s="734"/>
      <c r="B50" s="735"/>
    </row>
    <row r="51" spans="1:2" ht="55.2" x14ac:dyDescent="0.25">
      <c r="A51" s="734">
        <f>A49+1</f>
        <v>7</v>
      </c>
      <c r="B51" s="736" t="s">
        <v>110</v>
      </c>
    </row>
    <row r="52" spans="1:2" x14ac:dyDescent="0.25">
      <c r="A52" s="734"/>
      <c r="B52" s="735"/>
    </row>
    <row r="53" spans="1:2" ht="41.4" x14ac:dyDescent="0.25">
      <c r="A53" s="734">
        <f>A51+1</f>
        <v>8</v>
      </c>
      <c r="B53" s="735" t="s">
        <v>305</v>
      </c>
    </row>
    <row r="54" spans="1:2" x14ac:dyDescent="0.25">
      <c r="A54" s="734"/>
      <c r="B54" s="735"/>
    </row>
    <row r="55" spans="1:2" ht="55.2" x14ac:dyDescent="0.25">
      <c r="A55" s="734">
        <f>A53+1</f>
        <v>9</v>
      </c>
      <c r="B55" s="736" t="s">
        <v>111</v>
      </c>
    </row>
    <row r="56" spans="1:2" x14ac:dyDescent="0.25">
      <c r="A56" s="734"/>
      <c r="B56" s="736"/>
    </row>
    <row r="57" spans="1:2" ht="41.4" x14ac:dyDescent="0.25">
      <c r="A57" s="734">
        <f>A55+1</f>
        <v>10</v>
      </c>
      <c r="B57" s="736" t="s">
        <v>192</v>
      </c>
    </row>
    <row r="58" spans="1:2" x14ac:dyDescent="0.25">
      <c r="A58" s="734"/>
      <c r="B58" s="735"/>
    </row>
    <row r="59" spans="1:2" ht="27.6" x14ac:dyDescent="0.25">
      <c r="A59" s="734">
        <f>A57+1</f>
        <v>11</v>
      </c>
      <c r="B59" s="735" t="s">
        <v>193</v>
      </c>
    </row>
    <row r="60" spans="1:2" x14ac:dyDescent="0.25">
      <c r="A60" s="734"/>
      <c r="B60" s="736"/>
    </row>
    <row r="61" spans="1:2" ht="27.6" x14ac:dyDescent="0.25">
      <c r="A61" s="734">
        <f>A59+1</f>
        <v>12</v>
      </c>
      <c r="B61" s="736" t="s">
        <v>194</v>
      </c>
    </row>
    <row r="62" spans="1:2" x14ac:dyDescent="0.25">
      <c r="A62" s="734"/>
      <c r="B62" s="736"/>
    </row>
    <row r="63" spans="1:2" ht="41.4" x14ac:dyDescent="0.25">
      <c r="A63" s="734">
        <f>A61+1</f>
        <v>13</v>
      </c>
      <c r="B63" s="736" t="s">
        <v>195</v>
      </c>
    </row>
    <row r="64" spans="1:2" x14ac:dyDescent="0.25">
      <c r="A64" s="734"/>
      <c r="B64" s="735"/>
    </row>
    <row r="65" spans="1:2" ht="15.6" x14ac:dyDescent="0.25">
      <c r="A65" s="770" t="s">
        <v>34</v>
      </c>
      <c r="B65" s="252" t="s">
        <v>345</v>
      </c>
    </row>
    <row r="66" spans="1:2" x14ac:dyDescent="0.25">
      <c r="A66" s="771"/>
      <c r="B66" s="250"/>
    </row>
    <row r="67" spans="1:2" ht="45" x14ac:dyDescent="0.25">
      <c r="A67" s="771"/>
      <c r="B67" s="772" t="s">
        <v>346</v>
      </c>
    </row>
    <row r="68" spans="1:2" x14ac:dyDescent="0.25">
      <c r="A68" s="771"/>
      <c r="B68" s="250"/>
    </row>
    <row r="69" spans="1:2" x14ac:dyDescent="0.25">
      <c r="A69" s="771" t="s">
        <v>347</v>
      </c>
      <c r="B69" s="250" t="s">
        <v>348</v>
      </c>
    </row>
    <row r="70" spans="1:2" x14ac:dyDescent="0.25">
      <c r="A70" s="771"/>
      <c r="B70" s="250"/>
    </row>
    <row r="71" spans="1:2" x14ac:dyDescent="0.25">
      <c r="A71" s="771" t="s">
        <v>349</v>
      </c>
      <c r="B71" s="250" t="s">
        <v>350</v>
      </c>
    </row>
    <row r="72" spans="1:2" x14ac:dyDescent="0.25">
      <c r="A72" s="771"/>
      <c r="B72" s="250"/>
    </row>
    <row r="73" spans="1:2" ht="30" x14ac:dyDescent="0.25">
      <c r="A73" s="771" t="s">
        <v>351</v>
      </c>
      <c r="B73" s="250" t="s">
        <v>352</v>
      </c>
    </row>
    <row r="74" spans="1:2" x14ac:dyDescent="0.25">
      <c r="A74" s="771"/>
      <c r="B74" s="250"/>
    </row>
    <row r="75" spans="1:2" x14ac:dyDescent="0.25">
      <c r="A75" s="771" t="s">
        <v>353</v>
      </c>
      <c r="B75" s="773" t="s">
        <v>354</v>
      </c>
    </row>
    <row r="76" spans="1:2" x14ac:dyDescent="0.25">
      <c r="A76" s="771"/>
      <c r="B76" s="250"/>
    </row>
    <row r="77" spans="1:2" ht="30" x14ac:dyDescent="0.25">
      <c r="A77" s="771" t="s">
        <v>355</v>
      </c>
      <c r="B77" s="250" t="s">
        <v>356</v>
      </c>
    </row>
    <row r="78" spans="1:2" x14ac:dyDescent="0.25">
      <c r="A78" s="771"/>
      <c r="B78" s="250"/>
    </row>
    <row r="79" spans="1:2" ht="30" x14ac:dyDescent="0.25">
      <c r="A79" s="771" t="s">
        <v>357</v>
      </c>
      <c r="B79" s="773" t="s">
        <v>358</v>
      </c>
    </row>
    <row r="80" spans="1:2" x14ac:dyDescent="0.25">
      <c r="A80" s="734"/>
      <c r="B80" s="735"/>
    </row>
    <row r="81" spans="1:2" x14ac:dyDescent="0.25">
      <c r="A81" s="734"/>
      <c r="B81" s="735" t="s">
        <v>18</v>
      </c>
    </row>
    <row r="82" spans="1:2" ht="57.75" customHeight="1" x14ac:dyDescent="0.25">
      <c r="A82" s="734"/>
      <c r="B82" s="1308" t="s">
        <v>606</v>
      </c>
    </row>
    <row r="83" spans="1:2" x14ac:dyDescent="0.25">
      <c r="B83" s="17"/>
    </row>
    <row r="84" spans="1:2" x14ac:dyDescent="0.25">
      <c r="B84" s="18"/>
    </row>
    <row r="116" spans="1:1" x14ac:dyDescent="0.25">
      <c r="A116" s="267" t="s">
        <v>212</v>
      </c>
    </row>
    <row r="117" spans="1:1" x14ac:dyDescent="0.25">
      <c r="A117" s="267"/>
    </row>
  </sheetData>
  <phoneticPr fontId="33"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K61"/>
  <sheetViews>
    <sheetView tabSelected="1" zoomScaleNormal="100" zoomScaleSheetLayoutView="75" workbookViewId="0">
      <selection activeCell="F37" sqref="F37"/>
    </sheetView>
  </sheetViews>
  <sheetFormatPr defaultRowHeight="15" x14ac:dyDescent="0.25"/>
  <cols>
    <col min="1" max="1" width="16.33203125" customWidth="1"/>
    <col min="2" max="2" width="3.9140625" customWidth="1"/>
    <col min="3" max="3" width="8" customWidth="1"/>
    <col min="4" max="4" width="26.33203125" customWidth="1"/>
    <col min="5" max="5" width="18" customWidth="1"/>
    <col min="6" max="6" width="20" customWidth="1"/>
    <col min="7" max="7" width="17.6640625" customWidth="1"/>
    <col min="8" max="8" width="17.58203125" customWidth="1"/>
    <col min="10" max="10" width="35.9140625" customWidth="1"/>
  </cols>
  <sheetData>
    <row r="1" spans="1:8" ht="55.5" customHeight="1" thickTop="1" thickBot="1" x14ac:dyDescent="0.3">
      <c r="A1" s="1761" t="s">
        <v>583</v>
      </c>
      <c r="B1" s="1762"/>
      <c r="C1" s="1762"/>
      <c r="D1" s="1762"/>
      <c r="E1" s="1762"/>
      <c r="F1" s="1762"/>
      <c r="G1" s="1762"/>
      <c r="H1" s="1763"/>
    </row>
    <row r="2" spans="1:8" ht="15.75" customHeight="1" thickTop="1" x14ac:dyDescent="0.25">
      <c r="A2" s="1771"/>
      <c r="B2" s="1772"/>
      <c r="C2" s="1772"/>
      <c r="D2" s="1772"/>
      <c r="E2" s="1775" t="s">
        <v>107</v>
      </c>
      <c r="F2" s="1776"/>
      <c r="G2" s="1776"/>
      <c r="H2" s="1777"/>
    </row>
    <row r="3" spans="1:8" ht="28.5" customHeight="1" x14ac:dyDescent="0.25">
      <c r="A3" s="1773"/>
      <c r="B3" s="1774"/>
      <c r="C3" s="1774"/>
      <c r="D3" s="1774"/>
      <c r="E3" s="1778"/>
      <c r="F3" s="1779"/>
      <c r="G3" s="1779"/>
      <c r="H3" s="1780"/>
    </row>
    <row r="4" spans="1:8" x14ac:dyDescent="0.25">
      <c r="A4" s="161"/>
      <c r="B4" s="392"/>
      <c r="C4" s="392"/>
      <c r="D4" s="392"/>
      <c r="E4" s="1764" t="str">
        <f>CONCATENATE(D10,": ",D21," FEES")</f>
        <v>ENGINEERING PROJECT: 2015 FEES</v>
      </c>
      <c r="F4" s="1765"/>
      <c r="G4" s="1765"/>
      <c r="H4" s="1766"/>
    </row>
    <row r="5" spans="1:8" ht="14.25" customHeight="1" thickBot="1" x14ac:dyDescent="0.3">
      <c r="A5" s="351"/>
      <c r="B5" s="96"/>
      <c r="C5" s="96"/>
      <c r="D5" s="96"/>
      <c r="E5" s="1423" t="s">
        <v>634</v>
      </c>
      <c r="F5" s="384"/>
      <c r="G5" s="384"/>
      <c r="H5" s="776" t="s">
        <v>635</v>
      </c>
    </row>
    <row r="6" spans="1:8" ht="16.2" thickTop="1" x14ac:dyDescent="0.25">
      <c r="A6" s="393"/>
      <c r="B6" s="394"/>
      <c r="C6" s="395" t="s">
        <v>201</v>
      </c>
      <c r="D6" s="756"/>
      <c r="E6" s="42"/>
      <c r="F6" s="369" t="s">
        <v>205</v>
      </c>
      <c r="G6" s="1769"/>
      <c r="H6" s="1770"/>
    </row>
    <row r="7" spans="1:8" x14ac:dyDescent="0.25">
      <c r="A7" s="374"/>
      <c r="B7" s="359"/>
      <c r="C7" s="357" t="s">
        <v>202</v>
      </c>
      <c r="D7" s="483"/>
      <c r="E7" s="42"/>
      <c r="F7" s="369" t="s">
        <v>159</v>
      </c>
      <c r="G7" s="486"/>
      <c r="H7" s="43"/>
    </row>
    <row r="8" spans="1:8" x14ac:dyDescent="0.25">
      <c r="A8" s="374"/>
      <c r="B8" s="359"/>
      <c r="C8" s="357" t="s">
        <v>247</v>
      </c>
      <c r="D8" s="484"/>
      <c r="E8" s="42"/>
      <c r="F8" s="369" t="s">
        <v>177</v>
      </c>
      <c r="G8" s="486"/>
      <c r="H8" s="43"/>
    </row>
    <row r="9" spans="1:8" x14ac:dyDescent="0.25">
      <c r="A9" s="374"/>
      <c r="B9" s="359"/>
      <c r="C9" s="357" t="s">
        <v>206</v>
      </c>
      <c r="D9" s="757"/>
      <c r="E9" s="42"/>
      <c r="F9" s="370" t="s">
        <v>173</v>
      </c>
      <c r="G9" s="486"/>
      <c r="H9" s="97"/>
    </row>
    <row r="10" spans="1:8" ht="15.6" x14ac:dyDescent="0.25">
      <c r="A10" s="374"/>
      <c r="B10" s="359"/>
      <c r="C10" s="233" t="s">
        <v>99</v>
      </c>
      <c r="D10" s="100" t="s">
        <v>632</v>
      </c>
      <c r="E10" s="397" t="str">
        <f>IF(D10="MULTI-DISCIPLINARY PROJECT","B","E")</f>
        <v>E</v>
      </c>
      <c r="F10" s="398" t="s">
        <v>158</v>
      </c>
      <c r="G10" s="1767"/>
      <c r="H10" s="1768"/>
    </row>
    <row r="11" spans="1:8" ht="15.6" x14ac:dyDescent="0.25">
      <c r="A11" s="374"/>
      <c r="B11" s="359"/>
      <c r="C11" s="683" t="s">
        <v>335</v>
      </c>
      <c r="D11" s="684" t="s">
        <v>599</v>
      </c>
      <c r="E11" s="481" t="str">
        <f>IF($D$11="Yes", "NO OF DAYS","")</f>
        <v/>
      </c>
      <c r="F11" s="685"/>
      <c r="G11" s="686" t="str">
        <f>IF($D$11="Yes", "RATE","")</f>
        <v/>
      </c>
      <c r="H11" s="687"/>
    </row>
    <row r="12" spans="1:8" ht="15.6" thickBot="1" x14ac:dyDescent="0.3">
      <c r="A12" s="374"/>
      <c r="B12" s="359"/>
      <c r="C12" s="357" t="s">
        <v>93</v>
      </c>
      <c r="D12" s="998"/>
      <c r="E12" s="1234"/>
      <c r="F12" s="1234"/>
      <c r="G12" s="1234"/>
      <c r="H12" s="1235"/>
    </row>
    <row r="13" spans="1:8" ht="15.6" thickTop="1" x14ac:dyDescent="0.25">
      <c r="A13" s="374"/>
      <c r="B13" s="359"/>
      <c r="C13" s="357" t="s">
        <v>298</v>
      </c>
      <c r="D13" s="995"/>
      <c r="E13" s="996"/>
      <c r="F13" s="996"/>
      <c r="G13" s="996"/>
      <c r="H13" s="997"/>
    </row>
    <row r="14" spans="1:8" x14ac:dyDescent="0.25">
      <c r="A14" s="374"/>
      <c r="B14" s="359"/>
      <c r="C14" s="357" t="s">
        <v>124</v>
      </c>
      <c r="D14" s="990"/>
      <c r="E14" s="991"/>
      <c r="F14" s="991"/>
      <c r="G14" s="362" t="s">
        <v>272</v>
      </c>
      <c r="H14" s="1108"/>
    </row>
    <row r="15" spans="1:8" x14ac:dyDescent="0.25">
      <c r="A15" s="374"/>
      <c r="B15" s="359"/>
      <c r="C15" s="357" t="s">
        <v>270</v>
      </c>
      <c r="D15" s="992"/>
      <c r="E15" s="993"/>
      <c r="F15" s="993"/>
      <c r="G15" s="362" t="s">
        <v>272</v>
      </c>
      <c r="H15" s="1109"/>
    </row>
    <row r="16" spans="1:8" x14ac:dyDescent="0.25">
      <c r="A16" s="374"/>
      <c r="B16" s="359"/>
      <c r="C16" s="357" t="s">
        <v>208</v>
      </c>
      <c r="D16" s="995"/>
      <c r="E16" s="463" t="s">
        <v>167</v>
      </c>
      <c r="F16" s="999"/>
      <c r="G16" s="463" t="s">
        <v>166</v>
      </c>
      <c r="H16" s="487"/>
    </row>
    <row r="17" spans="1:11" ht="15.6" thickBot="1" x14ac:dyDescent="0.3">
      <c r="A17" s="374"/>
      <c r="B17" s="359"/>
      <c r="C17" s="357" t="s">
        <v>158</v>
      </c>
      <c r="D17" s="1236"/>
      <c r="E17" s="1237"/>
      <c r="F17" s="466"/>
      <c r="G17" s="467"/>
      <c r="H17" s="468"/>
    </row>
    <row r="18" spans="1:11" ht="21" customHeight="1" thickTop="1" x14ac:dyDescent="0.25">
      <c r="A18" s="374"/>
      <c r="B18" s="359"/>
      <c r="C18" s="357" t="s">
        <v>89</v>
      </c>
      <c r="D18" s="485"/>
      <c r="E18" s="1148">
        <f>IF(D18="none", "none",D18)</f>
        <v>0</v>
      </c>
      <c r="F18" s="1759" t="s">
        <v>160</v>
      </c>
      <c r="G18" s="1755" t="s">
        <v>207</v>
      </c>
      <c r="H18" s="1756"/>
    </row>
    <row r="19" spans="1:11" ht="18" customHeight="1" x14ac:dyDescent="0.25">
      <c r="A19" s="374"/>
      <c r="B19" s="359"/>
      <c r="C19" s="357" t="s">
        <v>119</v>
      </c>
      <c r="D19" s="488"/>
      <c r="E19" s="388" t="str">
        <f>IF(D19="","&lt;--ERROR","")</f>
        <v>&lt;--ERROR</v>
      </c>
      <c r="F19" s="1760"/>
      <c r="G19" s="1757"/>
      <c r="H19" s="1758"/>
    </row>
    <row r="20" spans="1:11" x14ac:dyDescent="0.25">
      <c r="A20" s="374"/>
      <c r="B20" s="360"/>
      <c r="C20" s="357" t="s">
        <v>24</v>
      </c>
      <c r="D20" s="489"/>
      <c r="E20" s="389"/>
      <c r="F20" s="1147" t="s">
        <v>161</v>
      </c>
      <c r="G20" s="1687"/>
      <c r="H20" s="1686"/>
    </row>
    <row r="21" spans="1:11" x14ac:dyDescent="0.25">
      <c r="A21" s="376"/>
      <c r="B21" s="361"/>
      <c r="C21" s="358" t="s">
        <v>123</v>
      </c>
      <c r="D21" s="459">
        <v>2015</v>
      </c>
      <c r="E21" s="390" t="b">
        <f>IF(D21=2010,0,IF(D21=2011,1,IF(D21=2012,2)))</f>
        <v>0</v>
      </c>
      <c r="F21" s="994" t="s">
        <v>162</v>
      </c>
      <c r="G21" s="1687"/>
      <c r="H21" s="1686"/>
    </row>
    <row r="22" spans="1:11" x14ac:dyDescent="0.25">
      <c r="A22" s="1695" t="s">
        <v>607</v>
      </c>
      <c r="B22" s="1696"/>
      <c r="C22" s="1696"/>
      <c r="D22" s="1696"/>
      <c r="E22" s="1697"/>
      <c r="F22" s="368" t="s">
        <v>162</v>
      </c>
      <c r="G22" s="1687"/>
      <c r="H22" s="1686"/>
    </row>
    <row r="23" spans="1:11" x14ac:dyDescent="0.25">
      <c r="A23" s="1698"/>
      <c r="B23" s="1699"/>
      <c r="C23" s="1699"/>
      <c r="D23" s="1699"/>
      <c r="E23" s="1700"/>
      <c r="F23" s="368" t="s">
        <v>163</v>
      </c>
      <c r="G23" s="1688"/>
      <c r="H23" s="1686"/>
    </row>
    <row r="24" spans="1:11" x14ac:dyDescent="0.25">
      <c r="A24" s="1698"/>
      <c r="B24" s="1699"/>
      <c r="C24" s="1699"/>
      <c r="D24" s="1699"/>
      <c r="E24" s="1700"/>
      <c r="F24" s="368" t="s">
        <v>89</v>
      </c>
      <c r="G24" s="1690" t="s">
        <v>290</v>
      </c>
      <c r="H24" s="1691"/>
    </row>
    <row r="25" spans="1:11" ht="18.75" customHeight="1" x14ac:dyDescent="0.25">
      <c r="A25" s="1698"/>
      <c r="B25" s="1699"/>
      <c r="C25" s="1699"/>
      <c r="D25" s="1699"/>
      <c r="E25" s="1700"/>
      <c r="F25" s="368" t="s">
        <v>269</v>
      </c>
      <c r="G25" s="1687"/>
      <c r="H25" s="1686"/>
    </row>
    <row r="26" spans="1:11" x14ac:dyDescent="0.25">
      <c r="A26" s="1713" t="s">
        <v>25</v>
      </c>
      <c r="B26" s="1714"/>
      <c r="C26" s="1715"/>
      <c r="D26" s="10" t="str">
        <f>IF(E47&lt;H39,"USE TIME BASED FEES","PERCENTAGE BASED FEES")</f>
        <v>USE TIME BASED FEES</v>
      </c>
      <c r="E26" s="40"/>
      <c r="F26" s="365" t="s">
        <v>164</v>
      </c>
      <c r="G26" s="1687"/>
      <c r="H26" s="1686"/>
    </row>
    <row r="27" spans="1:11" ht="17.399999999999999" x14ac:dyDescent="0.25">
      <c r="A27" s="347" t="s">
        <v>152</v>
      </c>
      <c r="B27" s="348"/>
      <c r="C27" s="349"/>
      <c r="D27" s="399">
        <v>1</v>
      </c>
      <c r="E27" s="226"/>
      <c r="F27" s="365" t="s">
        <v>165</v>
      </c>
      <c r="G27" s="1687"/>
      <c r="H27" s="1686"/>
    </row>
    <row r="28" spans="1:11" x14ac:dyDescent="0.25">
      <c r="A28" s="445"/>
      <c r="B28" s="442"/>
      <c r="C28" s="443" t="s">
        <v>108</v>
      </c>
      <c r="D28" s="758">
        <v>44172</v>
      </c>
      <c r="E28" s="226"/>
      <c r="F28" s="366" t="s">
        <v>268</v>
      </c>
      <c r="G28" s="1688"/>
      <c r="H28" s="1689"/>
    </row>
    <row r="29" spans="1:11" x14ac:dyDescent="0.25">
      <c r="A29" s="374"/>
      <c r="B29" s="444"/>
      <c r="C29" s="359" t="s">
        <v>590</v>
      </c>
      <c r="D29" s="759"/>
      <c r="E29" s="226"/>
      <c r="F29" s="367" t="s">
        <v>159</v>
      </c>
      <c r="G29" s="1685"/>
      <c r="H29" s="1686"/>
    </row>
    <row r="30" spans="1:11" ht="15.6" thickBot="1" x14ac:dyDescent="0.3">
      <c r="A30" s="374"/>
      <c r="B30" s="444"/>
      <c r="C30" s="359" t="s">
        <v>300</v>
      </c>
      <c r="D30" s="485"/>
      <c r="E30" s="226"/>
      <c r="F30" s="379" t="s">
        <v>296</v>
      </c>
      <c r="G30" s="1685"/>
      <c r="H30" s="1686"/>
    </row>
    <row r="31" spans="1:11" ht="18" customHeight="1" thickBot="1" x14ac:dyDescent="0.3">
      <c r="A31" s="374"/>
      <c r="B31" s="359"/>
      <c r="C31" s="359" t="s">
        <v>299</v>
      </c>
      <c r="D31" s="485"/>
      <c r="E31" s="356"/>
      <c r="F31" s="678" t="s">
        <v>297</v>
      </c>
      <c r="G31" s="1683"/>
      <c r="H31" s="1684"/>
      <c r="J31" s="1309" t="s">
        <v>608</v>
      </c>
      <c r="K31" s="1310">
        <v>0.05</v>
      </c>
    </row>
    <row r="32" spans="1:11" ht="18.75" customHeight="1" thickTop="1" thickBot="1" x14ac:dyDescent="0.3">
      <c r="A32" s="449"/>
      <c r="B32" s="450"/>
      <c r="C32" s="357" t="str">
        <f>IF(F32=1,"STAGE COMPLETED",IF(F32=5,"STAGE COMPLETED","STAGE"))</f>
        <v>STAGE COMPLETED</v>
      </c>
      <c r="D32" s="1720" t="s">
        <v>633</v>
      </c>
      <c r="E32" s="1721"/>
      <c r="F32" s="1313">
        <f>IF(D32="INCEPTION",1,IF(D32="PRELIMINARY DESIGN: CONCEPT &amp; VIABILITY",2,IF(D32="DETAIL DESIGN",3,IF(D32="DOCUMENTATION &amp; PROCUREMENT",4,IF(D32="CONTRACT ADMINISTRATION &amp; INSPECTION",5,IF(D32="CLOSE OUT",6))))))</f>
        <v>5</v>
      </c>
      <c r="H32" s="14"/>
      <c r="J32" s="1311" t="s">
        <v>609</v>
      </c>
      <c r="K32" s="1312">
        <v>0.2</v>
      </c>
    </row>
    <row r="33" spans="1:11" ht="18.75" customHeight="1" thickBot="1" x14ac:dyDescent="0.3">
      <c r="A33" s="141"/>
      <c r="B33" s="362"/>
      <c r="C33" s="676" t="str">
        <f>IF(F32=1,"N/A",IF(F32&gt;3,"N/A","PERCENTAGE OF STAGE COMPLETED"))</f>
        <v>N/A</v>
      </c>
      <c r="D33" s="677">
        <v>1</v>
      </c>
      <c r="E33" s="733" t="s">
        <v>631</v>
      </c>
      <c r="F33" s="674"/>
      <c r="G33" s="675"/>
      <c r="H33" s="14"/>
      <c r="J33" s="1311" t="s">
        <v>610</v>
      </c>
      <c r="K33" s="1312">
        <v>0.3</v>
      </c>
    </row>
    <row r="34" spans="1:11" ht="18" customHeight="1" thickBot="1" x14ac:dyDescent="0.3">
      <c r="A34" s="451"/>
      <c r="B34" s="452"/>
      <c r="C34" s="453" t="s">
        <v>132</v>
      </c>
      <c r="D34" s="100" t="s">
        <v>121</v>
      </c>
      <c r="E34" s="232"/>
      <c r="F34" s="40"/>
      <c r="G34" s="40"/>
      <c r="H34" s="14"/>
      <c r="J34" s="1311" t="s">
        <v>611</v>
      </c>
      <c r="K34" s="1312">
        <v>0.15</v>
      </c>
    </row>
    <row r="35" spans="1:11" ht="18" customHeight="1" thickBot="1" x14ac:dyDescent="0.3">
      <c r="A35" s="451"/>
      <c r="B35" s="452"/>
      <c r="C35" s="775" t="s">
        <v>359</v>
      </c>
      <c r="D35" s="774"/>
      <c r="E35" s="769"/>
      <c r="F35" s="40"/>
      <c r="G35" s="40"/>
      <c r="H35" s="14"/>
      <c r="J35" s="1311" t="s">
        <v>612</v>
      </c>
      <c r="K35" s="1312">
        <v>0.25</v>
      </c>
    </row>
    <row r="36" spans="1:11" ht="15" customHeight="1" thickBot="1" x14ac:dyDescent="0.3">
      <c r="A36" s="1716" t="s">
        <v>283</v>
      </c>
      <c r="B36" s="1717"/>
      <c r="C36" s="1717"/>
      <c r="D36" s="1718"/>
      <c r="E36" s="1719"/>
      <c r="F36" s="100" t="s">
        <v>121</v>
      </c>
      <c r="G36" s="371" t="s">
        <v>200</v>
      </c>
      <c r="H36" s="377">
        <f>IF(F36="Y",1,0.75)</f>
        <v>0.75</v>
      </c>
      <c r="J36" s="1311" t="s">
        <v>613</v>
      </c>
      <c r="K36" s="1312">
        <v>0.05</v>
      </c>
    </row>
    <row r="37" spans="1:11" x14ac:dyDescent="0.25">
      <c r="A37" s="1707" t="s">
        <v>131</v>
      </c>
      <c r="B37" s="1708"/>
      <c r="C37" s="1708"/>
      <c r="D37" s="1708"/>
      <c r="E37" s="1709"/>
      <c r="F37" s="100" t="s">
        <v>121</v>
      </c>
      <c r="G37" s="16"/>
      <c r="H37" s="719"/>
    </row>
    <row r="38" spans="1:11" x14ac:dyDescent="0.25">
      <c r="A38" s="1710" t="s">
        <v>624</v>
      </c>
      <c r="B38" s="1711"/>
      <c r="C38" s="1711"/>
      <c r="D38" s="1711"/>
      <c r="E38" s="1712"/>
      <c r="F38" s="100" t="s">
        <v>121</v>
      </c>
      <c r="G38" s="16"/>
      <c r="H38" s="720"/>
    </row>
    <row r="39" spans="1:11" ht="15.6" thickBot="1" x14ac:dyDescent="0.3">
      <c r="A39" s="1425"/>
      <c r="B39" s="1426"/>
      <c r="C39" s="1426"/>
      <c r="D39" s="1426"/>
      <c r="E39" s="1427" t="s">
        <v>338</v>
      </c>
      <c r="F39" s="1428" t="s">
        <v>121</v>
      </c>
      <c r="G39" s="1429"/>
      <c r="H39" s="721">
        <f>Scales!$C$3</f>
        <v>572000</v>
      </c>
    </row>
    <row r="40" spans="1:11" ht="16.2" thickTop="1" thickBot="1" x14ac:dyDescent="0.3">
      <c r="A40" s="1421"/>
      <c r="B40" s="1422"/>
      <c r="C40" s="1422"/>
      <c r="D40" s="1422"/>
      <c r="E40" s="1692" t="s">
        <v>636</v>
      </c>
      <c r="F40" s="1693"/>
      <c r="G40" s="1694"/>
      <c r="H40" s="1424"/>
    </row>
    <row r="41" spans="1:11" ht="70.5" customHeight="1" thickTop="1" thickBot="1" x14ac:dyDescent="0.3">
      <c r="A41" s="1731" t="s">
        <v>288</v>
      </c>
      <c r="B41" s="1731"/>
      <c r="C41" s="1731"/>
      <c r="D41" s="1731"/>
      <c r="E41" s="694" t="s">
        <v>618</v>
      </c>
      <c r="F41" s="1732" t="s">
        <v>623</v>
      </c>
      <c r="G41" s="1681" t="s">
        <v>619</v>
      </c>
      <c r="H41" s="1679" t="s">
        <v>100</v>
      </c>
    </row>
    <row r="42" spans="1:11" ht="24" customHeight="1" thickBot="1" x14ac:dyDescent="0.3">
      <c r="A42" s="1725" t="s">
        <v>136</v>
      </c>
      <c r="B42" s="1726"/>
      <c r="C42" s="1726"/>
      <c r="D42" s="722" t="s">
        <v>647</v>
      </c>
      <c r="E42" s="695">
        <f>IF($F$32&lt;4,1,IF($D$42="TENDER VALUES",2,1))</f>
        <v>1</v>
      </c>
      <c r="F42" s="1733"/>
      <c r="G42" s="1682"/>
      <c r="H42" s="1680"/>
    </row>
    <row r="43" spans="1:11" ht="28.5" customHeight="1" x14ac:dyDescent="0.25">
      <c r="A43" s="1729" t="s">
        <v>135</v>
      </c>
      <c r="B43" s="1730"/>
      <c r="C43" s="1730"/>
      <c r="D43" s="1730"/>
      <c r="E43" s="723"/>
      <c r="F43" s="723"/>
      <c r="G43" s="724"/>
      <c r="H43" s="576">
        <f>IF($F$32&lt;5,E43,IF($F$32=5,F43,IF($F$32=6,G43)))</f>
        <v>0</v>
      </c>
    </row>
    <row r="44" spans="1:11" ht="27.75" customHeight="1" x14ac:dyDescent="0.25">
      <c r="A44" s="1722" t="s">
        <v>622</v>
      </c>
      <c r="B44" s="1723"/>
      <c r="C44" s="1723"/>
      <c r="D44" s="1723"/>
      <c r="E44" s="725"/>
      <c r="F44" s="725"/>
      <c r="G44" s="725"/>
      <c r="H44" s="577">
        <f t="shared" ref="H44:H46" si="0">IF($F$32&lt;5,E44,IF($F$32=5,F44,IF($F$32=6,G44)))</f>
        <v>0</v>
      </c>
    </row>
    <row r="45" spans="1:11" ht="30" customHeight="1" x14ac:dyDescent="0.25">
      <c r="A45" s="1722" t="s">
        <v>102</v>
      </c>
      <c r="B45" s="1724"/>
      <c r="C45" s="1724"/>
      <c r="D45" s="1724"/>
      <c r="E45" s="725"/>
      <c r="F45" s="725"/>
      <c r="G45" s="726"/>
      <c r="H45" s="577">
        <f t="shared" si="0"/>
        <v>0</v>
      </c>
    </row>
    <row r="46" spans="1:11" ht="31.5" customHeight="1" thickBot="1" x14ac:dyDescent="0.3">
      <c r="A46" s="1727" t="s">
        <v>128</v>
      </c>
      <c r="B46" s="1728"/>
      <c r="C46" s="1728"/>
      <c r="D46" s="1728"/>
      <c r="E46" s="727"/>
      <c r="F46" s="727"/>
      <c r="G46" s="728"/>
      <c r="H46" s="578">
        <f t="shared" si="0"/>
        <v>0</v>
      </c>
    </row>
    <row r="47" spans="1:11" ht="28.5" customHeight="1" thickBot="1" x14ac:dyDescent="0.3">
      <c r="A47" s="1734" t="s">
        <v>106</v>
      </c>
      <c r="B47" s="1735"/>
      <c r="C47" s="1735"/>
      <c r="D47" s="1735"/>
      <c r="E47" s="708">
        <f>SUM(E43:E46)</f>
        <v>0</v>
      </c>
      <c r="F47" s="708">
        <f>SUM(F43:F46)</f>
        <v>0</v>
      </c>
      <c r="G47" s="709">
        <f>SUM(G43:G46)</f>
        <v>0</v>
      </c>
      <c r="H47" s="710">
        <f>SUM(H43:H46)</f>
        <v>0</v>
      </c>
    </row>
    <row r="48" spans="1:11" ht="30.75" customHeight="1" thickTop="1" thickBot="1" x14ac:dyDescent="0.3">
      <c r="A48" s="1736" t="str">
        <f>IF($F$32=6,IF(H47=H54,"","THE VALUE OF ( C) MUST BE THE SAME AS (D)"),"")</f>
        <v/>
      </c>
      <c r="B48" s="1737"/>
      <c r="C48" s="1737"/>
      <c r="D48" s="1737"/>
      <c r="E48" s="1738"/>
      <c r="F48" s="729"/>
      <c r="G48" s="373" t="str">
        <f>IF($F$32=6,IF($H$49=$H$55,"","ERROR"),"")</f>
        <v/>
      </c>
      <c r="H48" s="378"/>
    </row>
    <row r="49" spans="1:8" ht="33.75" customHeight="1" thickBot="1" x14ac:dyDescent="0.3">
      <c r="A49" s="1701" t="s">
        <v>137</v>
      </c>
      <c r="B49" s="1702"/>
      <c r="C49" s="1702"/>
      <c r="D49" s="1702"/>
      <c r="E49" s="725"/>
      <c r="F49" s="725"/>
      <c r="G49" s="725"/>
      <c r="H49" s="576">
        <f t="shared" ref="H49" si="1">IF($F$32&lt;5,E49,IF($F$32=5,F49,IF($F$32=6,G49)))</f>
        <v>0</v>
      </c>
    </row>
    <row r="50" spans="1:8" ht="15.6" thickBot="1" x14ac:dyDescent="0.3">
      <c r="A50" s="1746"/>
      <c r="B50" s="1747"/>
      <c r="C50" s="1747"/>
      <c r="D50" s="1747"/>
      <c r="E50" s="4"/>
      <c r="F50" s="3"/>
      <c r="G50" s="98"/>
      <c r="H50" s="75"/>
    </row>
    <row r="51" spans="1:8" ht="51.75" customHeight="1" thickTop="1" thickBot="1" x14ac:dyDescent="0.3">
      <c r="A51" s="1748" t="s">
        <v>637</v>
      </c>
      <c r="B51" s="1749"/>
      <c r="C51" s="1749"/>
      <c r="D51" s="1749"/>
      <c r="E51" s="1749"/>
      <c r="F51" s="1750"/>
      <c r="G51" s="446" t="s">
        <v>211</v>
      </c>
      <c r="H51" s="447" t="s">
        <v>100</v>
      </c>
    </row>
    <row r="52" spans="1:8" ht="35.25" customHeight="1" thickTop="1" x14ac:dyDescent="0.25">
      <c r="A52" s="1743" t="s">
        <v>245</v>
      </c>
      <c r="B52" s="1744"/>
      <c r="C52" s="1744"/>
      <c r="D52" s="1744"/>
      <c r="E52" s="1745"/>
      <c r="F52" s="1745"/>
      <c r="G52" s="580"/>
      <c r="H52" s="581">
        <f>IF($F$32&gt;4,G52,0)</f>
        <v>0</v>
      </c>
    </row>
    <row r="53" spans="1:8" ht="32.25" customHeight="1" thickBot="1" x14ac:dyDescent="0.3">
      <c r="A53" s="1751" t="s">
        <v>244</v>
      </c>
      <c r="B53" s="1752"/>
      <c r="C53" s="1752"/>
      <c r="D53" s="1752"/>
      <c r="E53" s="1753"/>
      <c r="F53" s="1754"/>
      <c r="G53" s="579"/>
      <c r="H53" s="582">
        <f>IF($F$32&gt;4,G53,0)</f>
        <v>0</v>
      </c>
    </row>
    <row r="54" spans="1:8" ht="32.25" customHeight="1" thickBot="1" x14ac:dyDescent="0.3">
      <c r="A54" s="1703" t="s">
        <v>129</v>
      </c>
      <c r="B54" s="1704"/>
      <c r="C54" s="1704"/>
      <c r="D54" s="1704"/>
      <c r="E54" s="1705"/>
      <c r="F54" s="1706"/>
      <c r="G54" s="583">
        <f>G52+G53</f>
        <v>0</v>
      </c>
      <c r="H54" s="584">
        <f>IF($F$32&gt;4,G54,0)</f>
        <v>0</v>
      </c>
    </row>
    <row r="55" spans="1:8" ht="36" customHeight="1" thickTop="1" thickBot="1" x14ac:dyDescent="0.3">
      <c r="A55" s="1739" t="s">
        <v>125</v>
      </c>
      <c r="B55" s="1740"/>
      <c r="C55" s="1740"/>
      <c r="D55" s="1740"/>
      <c r="E55" s="1741"/>
      <c r="F55" s="1742"/>
      <c r="G55" s="732"/>
      <c r="H55" s="585">
        <f>IF($F$32&gt;4,G55,0)</f>
        <v>0</v>
      </c>
    </row>
    <row r="56" spans="1:8" ht="15.6" thickTop="1" x14ac:dyDescent="0.25"/>
    <row r="57" spans="1:8" x14ac:dyDescent="0.25">
      <c r="D57" s="400"/>
    </row>
    <row r="58" spans="1:8" x14ac:dyDescent="0.25">
      <c r="D58" s="400"/>
    </row>
    <row r="59" spans="1:8" x14ac:dyDescent="0.25">
      <c r="D59" s="400"/>
    </row>
    <row r="60" spans="1:8" x14ac:dyDescent="0.25">
      <c r="D60" s="400"/>
    </row>
    <row r="61" spans="1:8" x14ac:dyDescent="0.25">
      <c r="D61" s="400"/>
    </row>
  </sheetData>
  <sheetProtection algorithmName="SHA-512" hashValue="UzOqCHgQx9CSzb9qNcMaThnh6QBd7+vYjSBYGbb7Anf3oDyZT92GwBSUG6IdaDbJ4imxrkRrtlXF5JxL9dtb4Q==" saltValue="BYWnGY5IEGPnM7g4SOnuZA==" spinCount="100000" sheet="1" objects="1" scenarios="1" formatCells="0" formatColumns="0" formatRows="0"/>
  <mergeCells count="45">
    <mergeCell ref="G20:H20"/>
    <mergeCell ref="G18:H19"/>
    <mergeCell ref="F18:F19"/>
    <mergeCell ref="A1:H1"/>
    <mergeCell ref="E4:H4"/>
    <mergeCell ref="G10:H10"/>
    <mergeCell ref="G6:H6"/>
    <mergeCell ref="A2:D3"/>
    <mergeCell ref="E2:H3"/>
    <mergeCell ref="A55:F55"/>
    <mergeCell ref="A52:F52"/>
    <mergeCell ref="A50:D50"/>
    <mergeCell ref="A51:F51"/>
    <mergeCell ref="A53:F53"/>
    <mergeCell ref="A49:D49"/>
    <mergeCell ref="A54:F54"/>
    <mergeCell ref="A37:E37"/>
    <mergeCell ref="A38:E38"/>
    <mergeCell ref="A26:C26"/>
    <mergeCell ref="A36:E36"/>
    <mergeCell ref="D32:E32"/>
    <mergeCell ref="A44:D44"/>
    <mergeCell ref="A45:D45"/>
    <mergeCell ref="A42:C42"/>
    <mergeCell ref="A46:D46"/>
    <mergeCell ref="A43:D43"/>
    <mergeCell ref="A41:D41"/>
    <mergeCell ref="F41:F42"/>
    <mergeCell ref="A47:D47"/>
    <mergeCell ref="A48:E48"/>
    <mergeCell ref="H41:H42"/>
    <mergeCell ref="G41:G42"/>
    <mergeCell ref="G31:H31"/>
    <mergeCell ref="G30:H30"/>
    <mergeCell ref="G21:H21"/>
    <mergeCell ref="G22:H22"/>
    <mergeCell ref="G23:H23"/>
    <mergeCell ref="G28:H28"/>
    <mergeCell ref="G27:H27"/>
    <mergeCell ref="G25:H25"/>
    <mergeCell ref="G29:H29"/>
    <mergeCell ref="G24:H24"/>
    <mergeCell ref="E40:G40"/>
    <mergeCell ref="A22:E25"/>
    <mergeCell ref="G26:H26"/>
  </mergeCells>
  <phoneticPr fontId="33" type="noConversion"/>
  <dataValidations count="7">
    <dataValidation type="list" allowBlank="1" showInputMessage="1" showErrorMessage="1" sqref="F36:F39">
      <formula1>"N,Y"</formula1>
    </dataValidation>
    <dataValidation type="list" allowBlank="1" showInputMessage="1" showErrorMessage="1" sqref="D42">
      <formula1>"ESTIMATES,TENDER VALUES"</formula1>
    </dataValidation>
    <dataValidation type="list" allowBlank="1" showInputMessage="1" showErrorMessage="1" sqref="D34">
      <formula1>"Y,N"</formula1>
    </dataValidation>
    <dataValidation type="list" allowBlank="1" showInputMessage="1" showErrorMessage="1" sqref="F33">
      <formula1>"INCEPTION,PRELIMINARY DESIGN: CONCEPT &amp; VIABILITY, DETAIL DESIGN &amp; DOCUMENTATION &amp; PROCUREMENT, CONTRACT ADMINISTRATION &amp; INSPECTION, CLOSE-OUT"</formula1>
    </dataValidation>
    <dataValidation type="list" allowBlank="1" showInputMessage="1" showErrorMessage="1" sqref="D10">
      <formula1>"ENGINEERING PROJECT, MULTI-DISCIPLINARY PROJECT"</formula1>
    </dataValidation>
    <dataValidation type="list" allowBlank="1" showInputMessage="1" showErrorMessage="1" sqref="D11">
      <formula1>"YES,NO"</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H60"/>
  <sheetViews>
    <sheetView topLeftCell="A32" zoomScaleNormal="100" zoomScaleSheetLayoutView="75" workbookViewId="0">
      <selection activeCell="D32" sqref="D32:E32"/>
    </sheetView>
  </sheetViews>
  <sheetFormatPr defaultRowHeight="15" x14ac:dyDescent="0.25"/>
  <cols>
    <col min="1" max="1" width="16.33203125" customWidth="1"/>
    <col min="2" max="2" width="3.9140625" customWidth="1"/>
    <col min="3" max="3" width="8" customWidth="1"/>
    <col min="4" max="4" width="26.33203125" customWidth="1"/>
    <col min="5" max="5" width="18" customWidth="1"/>
    <col min="6" max="6" width="20" customWidth="1"/>
    <col min="7" max="7" width="17.6640625" customWidth="1"/>
    <col min="8" max="8" width="17.58203125" customWidth="1"/>
  </cols>
  <sheetData>
    <row r="1" spans="1:8" ht="55.5" customHeight="1" thickTop="1" thickBot="1" x14ac:dyDescent="0.3">
      <c r="A1" s="1761" t="str">
        <f>'Input Data'!A1:H1</f>
        <v>PLEASE READ THE NOTES (1st SHEET) BEFORE STARTING TO POPULATE THE SHEETS. COMPLETE ALL YELLOW CELLS PLEASE !!!</v>
      </c>
      <c r="B1" s="1791"/>
      <c r="C1" s="1791"/>
      <c r="D1" s="1791"/>
      <c r="E1" s="1791"/>
      <c r="F1" s="1791"/>
      <c r="G1" s="1791"/>
      <c r="H1" s="1792"/>
    </row>
    <row r="2" spans="1:8" ht="15.75" customHeight="1" thickTop="1" x14ac:dyDescent="0.25">
      <c r="A2" s="1798"/>
      <c r="B2" s="1799"/>
      <c r="C2" s="1799"/>
      <c r="D2" s="1799"/>
      <c r="E2" s="1802" t="s">
        <v>107</v>
      </c>
      <c r="F2" s="1803"/>
      <c r="G2" s="1803"/>
      <c r="H2" s="1804"/>
    </row>
    <row r="3" spans="1:8" ht="28.5" customHeight="1" x14ac:dyDescent="0.25">
      <c r="A3" s="1800"/>
      <c r="B3" s="1801"/>
      <c r="C3" s="1801"/>
      <c r="D3" s="1801"/>
      <c r="E3" s="1805"/>
      <c r="F3" s="1805"/>
      <c r="G3" s="1805"/>
      <c r="H3" s="1806"/>
    </row>
    <row r="4" spans="1:8" x14ac:dyDescent="0.25">
      <c r="A4" s="294"/>
      <c r="B4" s="392"/>
      <c r="C4" s="392"/>
      <c r="D4" s="392"/>
      <c r="E4" s="1793" t="str">
        <f>'Input Data'!E4:H4</f>
        <v>ENGINEERING PROJECT: 2015 FEES</v>
      </c>
      <c r="F4" s="1765"/>
      <c r="G4" s="1765"/>
      <c r="H4" s="1794"/>
    </row>
    <row r="5" spans="1:8" ht="14.25" customHeight="1" thickBot="1" x14ac:dyDescent="0.3">
      <c r="A5" s="351"/>
      <c r="B5" s="96"/>
      <c r="C5" s="96"/>
      <c r="D5" s="96"/>
      <c r="E5" s="383"/>
      <c r="F5" s="384"/>
      <c r="G5" s="384"/>
      <c r="H5" s="396" t="str">
        <f>'Input Data'!H5</f>
        <v xml:space="preserve">Version 1.3  2020-12 </v>
      </c>
    </row>
    <row r="6" spans="1:8" ht="16.2" thickTop="1" x14ac:dyDescent="0.25">
      <c r="A6" s="454"/>
      <c r="B6" s="394"/>
      <c r="C6" s="395" t="s">
        <v>201</v>
      </c>
      <c r="D6" s="711" t="s">
        <v>255</v>
      </c>
      <c r="E6" s="42"/>
      <c r="F6" s="369" t="s">
        <v>205</v>
      </c>
      <c r="G6" s="1796" t="s">
        <v>256</v>
      </c>
      <c r="H6" s="1797"/>
    </row>
    <row r="7" spans="1:8" x14ac:dyDescent="0.25">
      <c r="A7" s="456"/>
      <c r="B7" s="359"/>
      <c r="C7" s="357" t="s">
        <v>202</v>
      </c>
      <c r="D7" s="712">
        <v>79867</v>
      </c>
      <c r="E7" s="42"/>
      <c r="F7" s="369" t="s">
        <v>159</v>
      </c>
      <c r="G7" s="457" t="s">
        <v>258</v>
      </c>
      <c r="H7" s="43"/>
    </row>
    <row r="8" spans="1:8" x14ac:dyDescent="0.25">
      <c r="A8" s="456"/>
      <c r="B8" s="359"/>
      <c r="C8" s="357" t="s">
        <v>247</v>
      </c>
      <c r="D8" s="713">
        <v>2</v>
      </c>
      <c r="E8" s="42"/>
      <c r="F8" s="369" t="s">
        <v>177</v>
      </c>
      <c r="G8" s="457" t="s">
        <v>259</v>
      </c>
      <c r="H8" s="43"/>
    </row>
    <row r="9" spans="1:8" x14ac:dyDescent="0.25">
      <c r="A9" s="456"/>
      <c r="B9" s="359"/>
      <c r="C9" s="357" t="s">
        <v>206</v>
      </c>
      <c r="D9" s="714" t="s">
        <v>291</v>
      </c>
      <c r="E9" s="42"/>
      <c r="F9" s="370" t="s">
        <v>173</v>
      </c>
      <c r="G9" s="457" t="s">
        <v>286</v>
      </c>
      <c r="H9" s="97"/>
    </row>
    <row r="10" spans="1:8" ht="15.6" x14ac:dyDescent="0.25">
      <c r="A10" s="456"/>
      <c r="B10" s="359"/>
      <c r="C10" s="233" t="s">
        <v>99</v>
      </c>
      <c r="D10" s="459" t="s">
        <v>342</v>
      </c>
      <c r="E10" s="397" t="s">
        <v>32</v>
      </c>
      <c r="F10" s="460" t="s">
        <v>158</v>
      </c>
      <c r="G10" s="1786" t="s">
        <v>257</v>
      </c>
      <c r="H10" s="1795"/>
    </row>
    <row r="11" spans="1:8" ht="15.6" x14ac:dyDescent="0.25">
      <c r="A11" s="456"/>
      <c r="B11" s="359"/>
      <c r="C11" s="683" t="s">
        <v>335</v>
      </c>
      <c r="D11" s="684" t="s">
        <v>336</v>
      </c>
      <c r="E11" s="481" t="str">
        <f>IF($D$11="Yes", "NO OF DAYS","")</f>
        <v>NO OF DAYS</v>
      </c>
      <c r="F11" s="685">
        <v>30</v>
      </c>
      <c r="G11" s="686" t="str">
        <f>IF($D$11="Yes", "RATE","")</f>
        <v>RATE</v>
      </c>
      <c r="H11" s="687">
        <v>500</v>
      </c>
    </row>
    <row r="12" spans="1:8" ht="15.6" thickBot="1" x14ac:dyDescent="0.3">
      <c r="A12" s="456"/>
      <c r="B12" s="359"/>
      <c r="C12" s="357" t="s">
        <v>93</v>
      </c>
      <c r="D12" s="1781" t="s">
        <v>260</v>
      </c>
      <c r="E12" s="1782"/>
      <c r="F12" s="1782"/>
      <c r="G12" s="1782"/>
      <c r="H12" s="1783"/>
    </row>
    <row r="13" spans="1:8" ht="15.6" thickTop="1" x14ac:dyDescent="0.25">
      <c r="A13" s="456"/>
      <c r="B13" s="359"/>
      <c r="C13" s="357" t="s">
        <v>298</v>
      </c>
      <c r="D13" s="1788" t="s">
        <v>261</v>
      </c>
      <c r="E13" s="1789"/>
      <c r="F13" s="1789"/>
      <c r="G13" s="1789"/>
      <c r="H13" s="1790"/>
    </row>
    <row r="14" spans="1:8" x14ac:dyDescent="0.25">
      <c r="A14" s="456"/>
      <c r="B14" s="359"/>
      <c r="C14" s="357" t="s">
        <v>124</v>
      </c>
      <c r="D14" s="1784" t="s">
        <v>262</v>
      </c>
      <c r="E14" s="1785"/>
      <c r="F14" s="1785"/>
      <c r="G14" s="362" t="s">
        <v>272</v>
      </c>
      <c r="H14" s="461">
        <v>1034</v>
      </c>
    </row>
    <row r="15" spans="1:8" x14ac:dyDescent="0.25">
      <c r="A15" s="456"/>
      <c r="B15" s="359"/>
      <c r="C15" s="357" t="s">
        <v>270</v>
      </c>
      <c r="D15" s="1784" t="s">
        <v>284</v>
      </c>
      <c r="E15" s="1785"/>
      <c r="F15" s="1785"/>
      <c r="G15" s="362" t="s">
        <v>272</v>
      </c>
      <c r="H15" s="462">
        <v>1002</v>
      </c>
    </row>
    <row r="16" spans="1:8" x14ac:dyDescent="0.25">
      <c r="A16" s="456"/>
      <c r="B16" s="359"/>
      <c r="C16" s="357" t="s">
        <v>208</v>
      </c>
      <c r="D16" s="455" t="s">
        <v>263</v>
      </c>
      <c r="E16" s="463" t="s">
        <v>167</v>
      </c>
      <c r="F16" s="464" t="s">
        <v>285</v>
      </c>
      <c r="G16" s="463" t="s">
        <v>166</v>
      </c>
      <c r="H16" s="465" t="s">
        <v>264</v>
      </c>
    </row>
    <row r="17" spans="1:8" ht="15.6" thickBot="1" x14ac:dyDescent="0.3">
      <c r="A17" s="456"/>
      <c r="B17" s="359"/>
      <c r="C17" s="357" t="s">
        <v>158</v>
      </c>
      <c r="D17" s="1786" t="s">
        <v>265</v>
      </c>
      <c r="E17" s="1787"/>
      <c r="F17" s="466"/>
      <c r="G17" s="467"/>
      <c r="H17" s="468"/>
    </row>
    <row r="18" spans="1:8" ht="15.6" thickTop="1" x14ac:dyDescent="0.25">
      <c r="A18" s="456"/>
      <c r="B18" s="359"/>
      <c r="C18" s="357" t="s">
        <v>89</v>
      </c>
      <c r="D18" s="458" t="s">
        <v>266</v>
      </c>
      <c r="E18" s="387" t="s">
        <v>266</v>
      </c>
      <c r="F18" s="372"/>
      <c r="G18" s="1755" t="s">
        <v>207</v>
      </c>
      <c r="H18" s="1814"/>
    </row>
    <row r="19" spans="1:8" x14ac:dyDescent="0.25">
      <c r="A19" s="456"/>
      <c r="B19" s="359"/>
      <c r="C19" s="357" t="s">
        <v>119</v>
      </c>
      <c r="D19" s="469" t="s">
        <v>267</v>
      </c>
      <c r="E19" s="388" t="s">
        <v>341</v>
      </c>
      <c r="F19" s="391" t="s">
        <v>160</v>
      </c>
      <c r="G19" s="1815"/>
      <c r="H19" s="1816"/>
    </row>
    <row r="20" spans="1:8" x14ac:dyDescent="0.25">
      <c r="A20" s="456"/>
      <c r="B20" s="360"/>
      <c r="C20" s="357" t="s">
        <v>24</v>
      </c>
      <c r="D20" s="715">
        <v>41002</v>
      </c>
      <c r="E20" s="389"/>
      <c r="F20" s="375"/>
      <c r="G20" s="1817"/>
      <c r="H20" s="1818"/>
    </row>
    <row r="21" spans="1:8" x14ac:dyDescent="0.25">
      <c r="A21" s="470"/>
      <c r="B21" s="361"/>
      <c r="C21" s="358" t="s">
        <v>123</v>
      </c>
      <c r="D21" s="459">
        <f>'Input Data'!D21</f>
        <v>2015</v>
      </c>
      <c r="E21" s="390">
        <v>1</v>
      </c>
      <c r="F21" s="364" t="s">
        <v>161</v>
      </c>
      <c r="G21" s="1809" t="s">
        <v>274</v>
      </c>
      <c r="H21" s="1808"/>
    </row>
    <row r="22" spans="1:8" x14ac:dyDescent="0.25">
      <c r="A22" s="1819" t="str">
        <f>'Input Data'!A22:E25</f>
        <v>Fee in accordance with the National Department of Public Works Scope of Engineering Services and Tariff of Fees for Persons Registered in terms of the Engineering Profession Act, 2000 (Act No. 46 of 2000) dated 1 March 2015</v>
      </c>
      <c r="B22" s="1820"/>
      <c r="C22" s="1820"/>
      <c r="D22" s="1820"/>
      <c r="E22" s="1821"/>
      <c r="F22" s="368" t="s">
        <v>162</v>
      </c>
      <c r="G22" s="1809" t="s">
        <v>275</v>
      </c>
      <c r="H22" s="1808"/>
    </row>
    <row r="23" spans="1:8" x14ac:dyDescent="0.25">
      <c r="A23" s="1822"/>
      <c r="B23" s="1823"/>
      <c r="C23" s="1823"/>
      <c r="D23" s="1823"/>
      <c r="E23" s="1824"/>
      <c r="F23" s="368" t="s">
        <v>163</v>
      </c>
      <c r="G23" s="1842" t="s">
        <v>276</v>
      </c>
      <c r="H23" s="1808"/>
    </row>
    <row r="24" spans="1:8" x14ac:dyDescent="0.25">
      <c r="A24" s="1822"/>
      <c r="B24" s="1823"/>
      <c r="C24" s="1823"/>
      <c r="D24" s="1823"/>
      <c r="E24" s="1824"/>
      <c r="F24" s="368" t="s">
        <v>89</v>
      </c>
      <c r="G24" s="1812" t="s">
        <v>290</v>
      </c>
      <c r="H24" s="1813"/>
    </row>
    <row r="25" spans="1:8" ht="18.75" customHeight="1" x14ac:dyDescent="0.25">
      <c r="A25" s="1822"/>
      <c r="B25" s="1823"/>
      <c r="C25" s="1823"/>
      <c r="D25" s="1823"/>
      <c r="E25" s="1824"/>
      <c r="F25" s="368" t="s">
        <v>269</v>
      </c>
      <c r="G25" s="1809" t="s">
        <v>277</v>
      </c>
      <c r="H25" s="1808"/>
    </row>
    <row r="26" spans="1:8" x14ac:dyDescent="0.25">
      <c r="A26" s="1713" t="s">
        <v>25</v>
      </c>
      <c r="B26" s="1810"/>
      <c r="C26" s="1811"/>
      <c r="D26" s="10" t="s">
        <v>303</v>
      </c>
      <c r="E26" s="42"/>
      <c r="F26" s="365" t="s">
        <v>164</v>
      </c>
      <c r="G26" s="1809" t="s">
        <v>278</v>
      </c>
      <c r="H26" s="1808"/>
    </row>
    <row r="27" spans="1:8" ht="17.399999999999999" x14ac:dyDescent="0.25">
      <c r="A27" s="347" t="s">
        <v>152</v>
      </c>
      <c r="B27" s="348"/>
      <c r="C27" s="349"/>
      <c r="D27" s="471">
        <v>1</v>
      </c>
      <c r="E27" s="226"/>
      <c r="F27" s="365" t="s">
        <v>165</v>
      </c>
      <c r="G27" s="1809" t="s">
        <v>275</v>
      </c>
      <c r="H27" s="1808"/>
    </row>
    <row r="28" spans="1:8" x14ac:dyDescent="0.25">
      <c r="A28" s="472"/>
      <c r="B28" s="473"/>
      <c r="C28" s="443" t="s">
        <v>108</v>
      </c>
      <c r="D28" s="716">
        <v>41243</v>
      </c>
      <c r="E28" s="226"/>
      <c r="F28" s="366" t="s">
        <v>268</v>
      </c>
      <c r="G28" s="1842" t="s">
        <v>279</v>
      </c>
      <c r="H28" s="1843"/>
    </row>
    <row r="29" spans="1:8" x14ac:dyDescent="0.25">
      <c r="A29" s="456"/>
      <c r="B29" s="474"/>
      <c r="C29" s="359" t="s">
        <v>590</v>
      </c>
      <c r="D29" s="713">
        <v>1</v>
      </c>
      <c r="E29" s="226"/>
      <c r="F29" s="367" t="s">
        <v>159</v>
      </c>
      <c r="G29" s="1807" t="s">
        <v>280</v>
      </c>
      <c r="H29" s="1808"/>
    </row>
    <row r="30" spans="1:8" x14ac:dyDescent="0.25">
      <c r="A30" s="456"/>
      <c r="B30" s="474"/>
      <c r="C30" s="359" t="s">
        <v>300</v>
      </c>
      <c r="D30" s="717" t="s">
        <v>271</v>
      </c>
      <c r="E30" s="226"/>
      <c r="F30" s="379" t="s">
        <v>296</v>
      </c>
      <c r="G30" s="1807" t="s">
        <v>281</v>
      </c>
      <c r="H30" s="1808"/>
    </row>
    <row r="31" spans="1:8" ht="18" customHeight="1" thickBot="1" x14ac:dyDescent="0.3">
      <c r="A31" s="456"/>
      <c r="B31" s="359"/>
      <c r="C31" s="359" t="s">
        <v>299</v>
      </c>
      <c r="D31" s="718" t="s">
        <v>287</v>
      </c>
      <c r="E31" s="356"/>
      <c r="F31" s="678" t="s">
        <v>297</v>
      </c>
      <c r="G31" s="1840" t="s">
        <v>282</v>
      </c>
      <c r="H31" s="1841"/>
    </row>
    <row r="32" spans="1:8" ht="18.75" customHeight="1" thickTop="1" x14ac:dyDescent="0.25">
      <c r="A32" s="475"/>
      <c r="B32" s="450"/>
      <c r="C32" s="450" t="s">
        <v>304</v>
      </c>
      <c r="D32" s="1720" t="s">
        <v>630</v>
      </c>
      <c r="E32" s="1721"/>
      <c r="F32" s="1313">
        <f>IF(D32="INCEPTION",1,IF(D32="PRELIMINARY DESIGN: CONCEPT &amp; VIABILITY",2,IF(D32="DETAIL DESIGN",3,IF(D32="DOCUMENTATION &amp; PROCUREMENT",4,IF(D32="CONTRACT ADMINISTRATION &amp; INSPECTION",5,IF(D32="CLOSE OUT",6))))))</f>
        <v>6</v>
      </c>
      <c r="H32" s="43"/>
    </row>
    <row r="33" spans="1:8" ht="18.75" customHeight="1" x14ac:dyDescent="0.25">
      <c r="A33" s="693"/>
      <c r="B33" s="362"/>
      <c r="C33" s="676" t="s">
        <v>319</v>
      </c>
      <c r="D33" s="677">
        <v>1</v>
      </c>
      <c r="E33" s="733" t="s">
        <v>339</v>
      </c>
      <c r="F33" s="682"/>
      <c r="H33" s="43"/>
    </row>
    <row r="34" spans="1:8" ht="18" customHeight="1" x14ac:dyDescent="0.25">
      <c r="A34" s="476"/>
      <c r="B34" s="452"/>
      <c r="C34" s="453" t="s">
        <v>132</v>
      </c>
      <c r="D34" s="459" t="s">
        <v>121</v>
      </c>
      <c r="E34" s="232"/>
      <c r="F34" s="42"/>
      <c r="G34" s="42"/>
      <c r="H34" s="43"/>
    </row>
    <row r="35" spans="1:8" ht="18" customHeight="1" x14ac:dyDescent="0.25">
      <c r="A35" s="476"/>
      <c r="B35" s="452"/>
      <c r="C35" s="452" t="str">
        <f>'Input Data'!C35</f>
        <v>ESTIMATED ENGINEERING FEES</v>
      </c>
      <c r="D35" s="459"/>
      <c r="E35" s="769"/>
      <c r="F35" s="748"/>
      <c r="G35" s="748"/>
      <c r="H35" s="43"/>
    </row>
    <row r="36" spans="1:8" ht="15" customHeight="1" x14ac:dyDescent="0.25">
      <c r="A36" s="1834" t="s">
        <v>283</v>
      </c>
      <c r="B36" s="1835"/>
      <c r="C36" s="1835"/>
      <c r="D36" s="1836"/>
      <c r="E36" s="1837"/>
      <c r="F36" s="100" t="s">
        <v>121</v>
      </c>
      <c r="G36" s="477" t="s">
        <v>200</v>
      </c>
      <c r="H36" s="478">
        <v>0.75</v>
      </c>
    </row>
    <row r="37" spans="1:8" x14ac:dyDescent="0.25">
      <c r="A37" s="1831" t="s">
        <v>131</v>
      </c>
      <c r="B37" s="1832"/>
      <c r="C37" s="1832"/>
      <c r="D37" s="1832"/>
      <c r="E37" s="1833"/>
      <c r="F37" s="100" t="s">
        <v>121</v>
      </c>
      <c r="G37" s="16"/>
      <c r="H37" s="97"/>
    </row>
    <row r="38" spans="1:8" x14ac:dyDescent="0.25">
      <c r="A38" s="1710" t="s">
        <v>116</v>
      </c>
      <c r="B38" s="1838"/>
      <c r="C38" s="1838"/>
      <c r="D38" s="1838"/>
      <c r="E38" s="1839"/>
      <c r="F38" s="100" t="s">
        <v>121</v>
      </c>
      <c r="G38" s="16"/>
      <c r="H38" s="720"/>
    </row>
    <row r="39" spans="1:8" ht="15.6" thickBot="1" x14ac:dyDescent="0.3">
      <c r="A39" s="479"/>
      <c r="B39" s="448"/>
      <c r="C39" s="448"/>
      <c r="D39" s="448"/>
      <c r="E39" s="467" t="s">
        <v>301</v>
      </c>
      <c r="F39" s="100" t="s">
        <v>121</v>
      </c>
      <c r="G39" s="16"/>
      <c r="H39" s="721">
        <f>'Input Data'!H39</f>
        <v>572000</v>
      </c>
    </row>
    <row r="40" spans="1:8" ht="70.5" customHeight="1" thickTop="1" thickBot="1" x14ac:dyDescent="0.3">
      <c r="A40" s="1846" t="s">
        <v>288</v>
      </c>
      <c r="B40" s="1847"/>
      <c r="C40" s="1847"/>
      <c r="D40" s="1847"/>
      <c r="E40" s="1149" t="s">
        <v>627</v>
      </c>
      <c r="F40" s="1825" t="s">
        <v>628</v>
      </c>
      <c r="G40" s="1827" t="s">
        <v>619</v>
      </c>
      <c r="H40" s="1829" t="s">
        <v>100</v>
      </c>
    </row>
    <row r="41" spans="1:8" ht="24" customHeight="1" thickBot="1" x14ac:dyDescent="0.3">
      <c r="A41" s="1867" t="s">
        <v>136</v>
      </c>
      <c r="B41" s="1868"/>
      <c r="C41" s="1869"/>
      <c r="D41" s="363" t="s">
        <v>214</v>
      </c>
      <c r="E41" s="1150">
        <v>2</v>
      </c>
      <c r="F41" s="1826"/>
      <c r="G41" s="1828"/>
      <c r="H41" s="1830"/>
    </row>
    <row r="42" spans="1:8" ht="28.5" customHeight="1" x14ac:dyDescent="0.25">
      <c r="A42" s="1858" t="s">
        <v>135</v>
      </c>
      <c r="B42" s="1859"/>
      <c r="C42" s="1859"/>
      <c r="D42" s="1859"/>
      <c r="E42" s="702">
        <v>800000</v>
      </c>
      <c r="F42" s="702">
        <v>800000</v>
      </c>
      <c r="G42" s="703">
        <v>800000</v>
      </c>
      <c r="H42" s="576">
        <f>IF($F$32&lt;5,E42,IF($F$32=5,F42,IF($F$32=6,G42)))</f>
        <v>800000</v>
      </c>
    </row>
    <row r="43" spans="1:8" ht="27.75" customHeight="1" x14ac:dyDescent="0.25">
      <c r="A43" s="1860" t="s">
        <v>101</v>
      </c>
      <c r="B43" s="1861"/>
      <c r="C43" s="1861"/>
      <c r="D43" s="1861"/>
      <c r="E43" s="704">
        <v>600000</v>
      </c>
      <c r="F43" s="704">
        <v>600000</v>
      </c>
      <c r="G43" s="705">
        <v>700000</v>
      </c>
      <c r="H43" s="577">
        <f t="shared" ref="H43:H45" si="0">IF($F$32&lt;5,E43,IF($F$32=5,F43,IF($F$32=6,G43)))</f>
        <v>700000</v>
      </c>
    </row>
    <row r="44" spans="1:8" ht="30" customHeight="1" x14ac:dyDescent="0.25">
      <c r="A44" s="1860" t="s">
        <v>102</v>
      </c>
      <c r="B44" s="1866"/>
      <c r="C44" s="1866"/>
      <c r="D44" s="1866"/>
      <c r="E44" s="704">
        <v>200000</v>
      </c>
      <c r="F44" s="704">
        <v>200000</v>
      </c>
      <c r="G44" s="705">
        <v>600000</v>
      </c>
      <c r="H44" s="577">
        <f t="shared" si="0"/>
        <v>600000</v>
      </c>
    </row>
    <row r="45" spans="1:8" ht="31.5" customHeight="1" thickBot="1" x14ac:dyDescent="0.3">
      <c r="A45" s="1844" t="s">
        <v>128</v>
      </c>
      <c r="B45" s="1845"/>
      <c r="C45" s="1845"/>
      <c r="D45" s="1845"/>
      <c r="E45" s="706">
        <v>150000</v>
      </c>
      <c r="F45" s="706">
        <v>150000</v>
      </c>
      <c r="G45" s="707">
        <v>500000</v>
      </c>
      <c r="H45" s="578">
        <f t="shared" si="0"/>
        <v>500000</v>
      </c>
    </row>
    <row r="46" spans="1:8" ht="28.5" customHeight="1" thickBot="1" x14ac:dyDescent="0.3">
      <c r="A46" s="1703" t="s">
        <v>106</v>
      </c>
      <c r="B46" s="1862"/>
      <c r="C46" s="1862"/>
      <c r="D46" s="1862"/>
      <c r="E46" s="708">
        <v>1750000</v>
      </c>
      <c r="F46" s="708">
        <v>1750000</v>
      </c>
      <c r="G46" s="709">
        <v>2600000</v>
      </c>
      <c r="H46" s="710">
        <v>2600000</v>
      </c>
    </row>
    <row r="47" spans="1:8" ht="30.75" customHeight="1" thickTop="1" thickBot="1" x14ac:dyDescent="0.3">
      <c r="A47" s="1863" t="s">
        <v>302</v>
      </c>
      <c r="B47" s="1864"/>
      <c r="C47" s="1864"/>
      <c r="D47" s="1864"/>
      <c r="E47" s="1865"/>
      <c r="F47" s="698"/>
      <c r="G47" s="699" t="s">
        <v>302</v>
      </c>
      <c r="H47" s="697"/>
    </row>
    <row r="48" spans="1:8" ht="33.75" customHeight="1" thickBot="1" x14ac:dyDescent="0.3">
      <c r="A48" s="1855" t="s">
        <v>137</v>
      </c>
      <c r="B48" s="1856"/>
      <c r="C48" s="1856"/>
      <c r="D48" s="1857"/>
      <c r="E48" s="700">
        <v>5000000</v>
      </c>
      <c r="F48" s="700">
        <v>5000000</v>
      </c>
      <c r="G48" s="701">
        <v>5000000</v>
      </c>
      <c r="H48" s="710">
        <f>SUM(H44:H47)</f>
        <v>3700000</v>
      </c>
    </row>
    <row r="49" spans="1:8" ht="15.6" thickBot="1" x14ac:dyDescent="0.3">
      <c r="A49" s="1746"/>
      <c r="B49" s="1747"/>
      <c r="C49" s="1747"/>
      <c r="D49" s="1747"/>
      <c r="E49" s="696"/>
      <c r="F49" s="480"/>
      <c r="G49" s="75"/>
      <c r="H49" s="75"/>
    </row>
    <row r="50" spans="1:8" ht="51.75" customHeight="1" thickTop="1" thickBot="1" x14ac:dyDescent="0.3">
      <c r="A50" s="1748" t="s">
        <v>289</v>
      </c>
      <c r="B50" s="1749"/>
      <c r="C50" s="1749"/>
      <c r="D50" s="1749"/>
      <c r="E50" s="1749"/>
      <c r="F50" s="1851"/>
      <c r="G50" s="446" t="s">
        <v>629</v>
      </c>
      <c r="H50" s="447" t="s">
        <v>100</v>
      </c>
    </row>
    <row r="51" spans="1:8" ht="35.25" customHeight="1" thickTop="1" x14ac:dyDescent="0.25">
      <c r="A51" s="1743" t="s">
        <v>245</v>
      </c>
      <c r="B51" s="1744"/>
      <c r="C51" s="1744"/>
      <c r="D51" s="1744"/>
      <c r="E51" s="1850"/>
      <c r="F51" s="1850"/>
      <c r="G51" s="580"/>
      <c r="H51" s="581">
        <f>IF($F$32&gt;4,G51,0)</f>
        <v>0</v>
      </c>
    </row>
    <row r="52" spans="1:8" ht="32.25" customHeight="1" thickBot="1" x14ac:dyDescent="0.3">
      <c r="A52" s="1751" t="s">
        <v>244</v>
      </c>
      <c r="B52" s="1752"/>
      <c r="C52" s="1752"/>
      <c r="D52" s="1752"/>
      <c r="E52" s="1752"/>
      <c r="F52" s="1852"/>
      <c r="G52" s="579">
        <v>5000000</v>
      </c>
      <c r="H52" s="582">
        <f>IF($F$32&gt;4,G52,0)</f>
        <v>5000000</v>
      </c>
    </row>
    <row r="53" spans="1:8" ht="32.25" customHeight="1" thickBot="1" x14ac:dyDescent="0.3">
      <c r="A53" s="1703" t="s">
        <v>129</v>
      </c>
      <c r="B53" s="1704"/>
      <c r="C53" s="1704"/>
      <c r="D53" s="1704"/>
      <c r="E53" s="1853"/>
      <c r="F53" s="1854"/>
      <c r="G53" s="583">
        <f>G51+G52</f>
        <v>5000000</v>
      </c>
      <c r="H53" s="584">
        <f>IF($F$32&gt;4,G53,0)</f>
        <v>5000000</v>
      </c>
    </row>
    <row r="54" spans="1:8" ht="36" customHeight="1" thickTop="1" thickBot="1" x14ac:dyDescent="0.3">
      <c r="A54" s="1739" t="s">
        <v>125</v>
      </c>
      <c r="B54" s="1740"/>
      <c r="C54" s="1740"/>
      <c r="D54" s="1740"/>
      <c r="E54" s="1848"/>
      <c r="F54" s="1849"/>
      <c r="G54" s="732">
        <v>3000000</v>
      </c>
      <c r="H54" s="585">
        <f>IF($F$32&gt;4,G54,0)</f>
        <v>3000000</v>
      </c>
    </row>
    <row r="55" spans="1:8" ht="15.6" thickTop="1" x14ac:dyDescent="0.25"/>
    <row r="56" spans="1:8" x14ac:dyDescent="0.25">
      <c r="D56" s="400"/>
    </row>
    <row r="57" spans="1:8" x14ac:dyDescent="0.25">
      <c r="D57" s="400"/>
    </row>
    <row r="58" spans="1:8" x14ac:dyDescent="0.25">
      <c r="D58" s="400"/>
    </row>
    <row r="59" spans="1:8" x14ac:dyDescent="0.25">
      <c r="D59" s="400"/>
    </row>
    <row r="60" spans="1:8" x14ac:dyDescent="0.25">
      <c r="D60" s="400"/>
    </row>
  </sheetData>
  <sheetProtection algorithmName="SHA-512" hashValue="B/dF7qQ04LBvm+79q4RR7rMvmEAzidC8/W+D4bUH6WbJ9j45pjZY4SDnXQxplR9HBSKr27gSRZjfNcYhevFzdQ==" saltValue="g6SNQy6FH0BNQf6l6mw9CA==" spinCount="100000" sheet="1" objects="1" scenarios="1" formatCells="0" formatColumns="0" formatRows="0"/>
  <mergeCells count="47">
    <mergeCell ref="A45:D45"/>
    <mergeCell ref="A40:D40"/>
    <mergeCell ref="A54:F54"/>
    <mergeCell ref="A51:F51"/>
    <mergeCell ref="A49:D49"/>
    <mergeCell ref="A50:F50"/>
    <mergeCell ref="A52:F52"/>
    <mergeCell ref="A53:F53"/>
    <mergeCell ref="A48:D48"/>
    <mergeCell ref="A42:D42"/>
    <mergeCell ref="A43:D43"/>
    <mergeCell ref="A46:D46"/>
    <mergeCell ref="A47:E47"/>
    <mergeCell ref="A44:D44"/>
    <mergeCell ref="A41:C41"/>
    <mergeCell ref="G18:H20"/>
    <mergeCell ref="A22:E25"/>
    <mergeCell ref="F40:F41"/>
    <mergeCell ref="G40:G41"/>
    <mergeCell ref="G27:H27"/>
    <mergeCell ref="H40:H41"/>
    <mergeCell ref="A37:E37"/>
    <mergeCell ref="D32:E32"/>
    <mergeCell ref="A36:E36"/>
    <mergeCell ref="A38:E38"/>
    <mergeCell ref="G31:H31"/>
    <mergeCell ref="G30:H30"/>
    <mergeCell ref="G21:H21"/>
    <mergeCell ref="G23:H23"/>
    <mergeCell ref="G28:H28"/>
    <mergeCell ref="G26:H26"/>
    <mergeCell ref="G29:H29"/>
    <mergeCell ref="G25:H25"/>
    <mergeCell ref="G22:H22"/>
    <mergeCell ref="A26:C26"/>
    <mergeCell ref="G24:H24"/>
    <mergeCell ref="A1:H1"/>
    <mergeCell ref="E4:H4"/>
    <mergeCell ref="G10:H10"/>
    <mergeCell ref="G6:H6"/>
    <mergeCell ref="A2:D3"/>
    <mergeCell ref="E2:H3"/>
    <mergeCell ref="D12:H12"/>
    <mergeCell ref="D15:F15"/>
    <mergeCell ref="D14:F14"/>
    <mergeCell ref="D17:E17"/>
    <mergeCell ref="D13:H13"/>
  </mergeCells>
  <phoneticPr fontId="33" type="noConversion"/>
  <dataValidations count="6">
    <dataValidation type="list" allowBlank="1" showInputMessage="1" showErrorMessage="1" sqref="F36:F39">
      <formula1>"N,Y"</formula1>
    </dataValidation>
    <dataValidation type="list" allowBlank="1" showInputMessage="1" showErrorMessage="1" sqref="D41">
      <formula1>"ESTIMATES,TENDER VALUES"</formula1>
    </dataValidation>
    <dataValidation type="list" allowBlank="1" showInputMessage="1" showErrorMessage="1" sqref="D34">
      <formula1>"Y,N"</formula1>
    </dataValidation>
    <dataValidation type="list" allowBlank="1" showInputMessage="1" showErrorMessage="1" sqref="D11">
      <formula1>"YES,NO"</formula1>
    </dataValidation>
    <dataValidation type="list" allowBlank="1" showInputMessage="1" showErrorMessage="1" sqref="D10">
      <formula1>"ENGINEERING PROJECT, MULTIDISCIPLINARY PROJECT"</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P95"/>
  <sheetViews>
    <sheetView topLeftCell="A19" zoomScaleNormal="100" zoomScaleSheetLayoutView="70" workbookViewId="0">
      <selection activeCell="G52" sqref="G52"/>
    </sheetView>
  </sheetViews>
  <sheetFormatPr defaultRowHeight="15" x14ac:dyDescent="0.25"/>
  <cols>
    <col min="1" max="1" width="19.58203125" customWidth="1"/>
    <col min="2" max="2" width="16.25" customWidth="1"/>
    <col min="3" max="3" width="4.75" customWidth="1"/>
    <col min="4" max="4" width="3.58203125" customWidth="1"/>
    <col min="5" max="5" width="4.25" customWidth="1"/>
    <col min="6" max="6" width="4" customWidth="1"/>
    <col min="7" max="7" width="10.25" customWidth="1"/>
    <col min="8" max="8" width="8.6640625" customWidth="1"/>
    <col min="9" max="9" width="11.08203125" customWidth="1"/>
    <col min="10" max="10" width="5.75" customWidth="1"/>
    <col min="11" max="11" width="15.6640625" customWidth="1"/>
    <col min="12" max="12" width="4.6640625" customWidth="1"/>
    <col min="13" max="13" width="13.4140625" customWidth="1"/>
    <col min="14" max="14" width="5.58203125" customWidth="1"/>
    <col min="15" max="15" width="14.4140625" customWidth="1"/>
    <col min="16" max="16" width="17.75" bestFit="1" customWidth="1"/>
  </cols>
  <sheetData>
    <row r="1" spans="1:15" ht="33" customHeight="1" thickTop="1" x14ac:dyDescent="0.25">
      <c r="A1" s="407"/>
      <c r="B1" s="408"/>
      <c r="C1" s="408"/>
      <c r="D1" s="354"/>
      <c r="E1" s="301"/>
      <c r="F1" s="301"/>
      <c r="G1" s="301"/>
      <c r="H1" s="301" t="s">
        <v>134</v>
      </c>
      <c r="I1" s="354"/>
      <c r="J1" s="302"/>
      <c r="K1" s="302"/>
      <c r="L1" s="302"/>
      <c r="M1" s="302"/>
      <c r="N1" s="302"/>
      <c r="O1" s="303"/>
    </row>
    <row r="2" spans="1:15" ht="26.25" customHeight="1" x14ac:dyDescent="0.25">
      <c r="A2" s="691" t="s">
        <v>248</v>
      </c>
      <c r="B2" s="409"/>
      <c r="C2" s="409"/>
      <c r="D2" s="304"/>
      <c r="E2" s="304"/>
      <c r="F2" s="42"/>
      <c r="G2" s="1870" t="s">
        <v>249</v>
      </c>
      <c r="H2" s="1871"/>
      <c r="I2" s="1871"/>
      <c r="J2" s="1871"/>
      <c r="K2" s="482" t="str">
        <f>IF('Input Data'!$E$10="e",'Input Data'!E4,"USE OTHER INVOICE")</f>
        <v>ENGINEERING PROJECT: 2015 FEES</v>
      </c>
      <c r="L2" s="306"/>
      <c r="M2" s="306"/>
      <c r="N2" s="42"/>
      <c r="O2" s="406" t="str">
        <f>'Input Data'!H5</f>
        <v xml:space="preserve">Version 1.3  2020-12 </v>
      </c>
    </row>
    <row r="3" spans="1:15" ht="9" customHeight="1" x14ac:dyDescent="0.25">
      <c r="A3" s="294"/>
      <c r="B3" s="42"/>
      <c r="C3" s="42"/>
      <c r="D3" s="42"/>
      <c r="E3" s="42"/>
      <c r="F3" s="99"/>
      <c r="G3" s="42"/>
      <c r="H3" s="42"/>
      <c r="I3" s="42"/>
      <c r="J3" s="42"/>
      <c r="K3" s="42"/>
      <c r="L3" s="42"/>
      <c r="M3" s="42"/>
      <c r="N3" s="42"/>
      <c r="O3" s="43"/>
    </row>
    <row r="4" spans="1:15" ht="20.25" customHeight="1" x14ac:dyDescent="0.25">
      <c r="A4" s="294"/>
      <c r="B4" s="42"/>
      <c r="C4" s="42"/>
      <c r="D4" s="42"/>
      <c r="E4" s="42"/>
      <c r="F4" s="99"/>
      <c r="G4" s="42"/>
      <c r="H4" s="99"/>
      <c r="I4" s="236" t="s">
        <v>590</v>
      </c>
      <c r="J4" s="1233">
        <f>'Input Data'!D29</f>
        <v>0</v>
      </c>
      <c r="K4" s="42"/>
      <c r="L4" s="42"/>
      <c r="M4" s="235"/>
      <c r="N4" s="236" t="s">
        <v>108</v>
      </c>
      <c r="O4" s="317">
        <f>'Input Data'!D28</f>
        <v>44172</v>
      </c>
    </row>
    <row r="5" spans="1:15" ht="18" customHeight="1" thickBot="1" x14ac:dyDescent="0.3">
      <c r="A5" s="321" t="s">
        <v>202</v>
      </c>
      <c r="B5" s="315">
        <f>'Input Data'!D7</f>
        <v>0</v>
      </c>
      <c r="C5" s="59"/>
      <c r="D5" s="59"/>
      <c r="E5" s="42"/>
      <c r="F5" s="59"/>
      <c r="G5" s="264" t="s">
        <v>247</v>
      </c>
      <c r="H5" s="380">
        <f>'Input Data'!D8</f>
        <v>0</v>
      </c>
      <c r="I5" s="410"/>
      <c r="J5" s="59"/>
      <c r="K5" s="42"/>
      <c r="L5" s="42"/>
      <c r="M5" s="235" t="s">
        <v>175</v>
      </c>
      <c r="N5" s="1888">
        <f>'Input Data'!D9</f>
        <v>0</v>
      </c>
      <c r="O5" s="1889"/>
    </row>
    <row r="6" spans="1:15" ht="23.25" customHeight="1" thickTop="1" thickBot="1" x14ac:dyDescent="0.3">
      <c r="A6" s="350" t="s">
        <v>15</v>
      </c>
      <c r="B6" s="1881">
        <f>'Input Data'!$D$12</f>
        <v>0</v>
      </c>
      <c r="C6" s="1882"/>
      <c r="D6" s="1882"/>
      <c r="E6" s="1882"/>
      <c r="F6" s="1882"/>
      <c r="G6" s="1882"/>
      <c r="H6" s="1882"/>
      <c r="I6" s="1882"/>
      <c r="J6" s="1882"/>
      <c r="K6" s="1882"/>
      <c r="L6" s="1882"/>
      <c r="M6" s="1882"/>
      <c r="N6" s="7"/>
      <c r="O6" s="248"/>
    </row>
    <row r="7" spans="1:15" ht="20.25" customHeight="1" thickTop="1" x14ac:dyDescent="0.25">
      <c r="A7" s="256" t="s">
        <v>160</v>
      </c>
      <c r="B7" s="1876" t="str">
        <f>'Input Data'!G18</f>
        <v>NATIONAL DEPARTMENT OF PUBLIC WORKS</v>
      </c>
      <c r="C7" s="1876"/>
      <c r="D7" s="1876"/>
      <c r="E7" s="1876"/>
      <c r="F7" s="1876"/>
      <c r="G7" s="1876"/>
      <c r="H7" s="44"/>
      <c r="I7" s="236" t="s">
        <v>174</v>
      </c>
      <c r="J7" s="1898">
        <f>'Input Data'!D6</f>
        <v>0</v>
      </c>
      <c r="K7" s="1899"/>
      <c r="L7" s="1900"/>
      <c r="M7" s="236" t="s">
        <v>333</v>
      </c>
      <c r="N7" s="1896" t="s">
        <v>290</v>
      </c>
      <c r="O7" s="1897"/>
    </row>
    <row r="8" spans="1:15" ht="20.25" customHeight="1" x14ac:dyDescent="0.25">
      <c r="A8" s="256" t="s">
        <v>221</v>
      </c>
      <c r="B8" s="1885">
        <f>'Input Data'!G21</f>
        <v>0</v>
      </c>
      <c r="C8" s="1886"/>
      <c r="D8" s="1887"/>
      <c r="F8" s="411"/>
      <c r="G8" s="681" t="s">
        <v>162</v>
      </c>
      <c r="H8" s="1872">
        <f>'Input Data'!G22</f>
        <v>0</v>
      </c>
      <c r="I8" s="1901"/>
      <c r="J8" s="1901"/>
      <c r="K8" s="1901"/>
      <c r="L8" s="1901"/>
      <c r="M8" s="242" t="s">
        <v>272</v>
      </c>
      <c r="N8" s="1907">
        <f>'Input Data'!G23</f>
        <v>0</v>
      </c>
      <c r="O8" s="1908"/>
    </row>
    <row r="9" spans="1:15" ht="15" customHeight="1" x14ac:dyDescent="0.25">
      <c r="A9" s="256" t="s">
        <v>269</v>
      </c>
      <c r="B9" s="1873">
        <f>'Input Data'!G26</f>
        <v>0</v>
      </c>
      <c r="C9" s="1874"/>
      <c r="D9" s="1874"/>
      <c r="E9" s="1874"/>
      <c r="F9" s="1874"/>
      <c r="G9" s="1875"/>
      <c r="H9" s="242" t="s">
        <v>178</v>
      </c>
      <c r="I9" s="1892">
        <f>'Input Data'!G27</f>
        <v>0</v>
      </c>
      <c r="J9" s="1893"/>
      <c r="K9" s="1893"/>
      <c r="L9" s="1893"/>
      <c r="M9" s="1893"/>
      <c r="N9" s="238" t="s">
        <v>272</v>
      </c>
      <c r="O9" s="316">
        <f>'Input Data'!G28</f>
        <v>0</v>
      </c>
    </row>
    <row r="10" spans="1:15" ht="15" customHeight="1" x14ac:dyDescent="0.25">
      <c r="A10" s="256" t="s">
        <v>179</v>
      </c>
      <c r="B10" s="1872">
        <f>'Input Data'!G25</f>
        <v>0</v>
      </c>
      <c r="C10" s="1872"/>
      <c r="D10" s="1872"/>
      <c r="E10" s="1872"/>
      <c r="F10" s="1872"/>
      <c r="G10" s="1872"/>
      <c r="H10" s="242" t="s">
        <v>172</v>
      </c>
      <c r="I10" s="1894">
        <f>'Input Data'!G29</f>
        <v>0</v>
      </c>
      <c r="J10" s="1895"/>
      <c r="K10" s="242" t="s">
        <v>295</v>
      </c>
      <c r="L10" s="1883">
        <f>'Input Data'!G30</f>
        <v>0</v>
      </c>
      <c r="M10" s="1884"/>
      <c r="N10" s="238" t="s">
        <v>294</v>
      </c>
      <c r="O10" s="413">
        <f>'Input Data'!G31</f>
        <v>0</v>
      </c>
    </row>
    <row r="11" spans="1:15" ht="15.75" customHeight="1" thickBot="1" x14ac:dyDescent="0.3">
      <c r="A11" s="321" t="s">
        <v>169</v>
      </c>
      <c r="B11" s="1877">
        <f>'Input Data'!G6</f>
        <v>0</v>
      </c>
      <c r="C11" s="1878"/>
      <c r="D11" s="401" t="s">
        <v>122</v>
      </c>
      <c r="E11" s="1879">
        <f>'Input Data'!G7</f>
        <v>0</v>
      </c>
      <c r="F11" s="1880"/>
      <c r="G11" s="1880"/>
      <c r="H11" s="402" t="s">
        <v>133</v>
      </c>
      <c r="I11" s="1877">
        <f>'Input Data'!G8</f>
        <v>0</v>
      </c>
      <c r="J11" s="1880"/>
      <c r="K11" s="402" t="s">
        <v>176</v>
      </c>
      <c r="L11" s="1877">
        <f>'Input Data'!G10</f>
        <v>0</v>
      </c>
      <c r="M11" s="1902"/>
      <c r="N11" s="1902"/>
      <c r="O11" s="1903"/>
    </row>
    <row r="12" spans="1:15" ht="21" customHeight="1" thickTop="1" thickBot="1" x14ac:dyDescent="0.3">
      <c r="A12" s="690" t="s">
        <v>251</v>
      </c>
      <c r="B12" s="414"/>
      <c r="C12" s="353"/>
      <c r="D12" s="308"/>
      <c r="E12" s="311"/>
      <c r="F12" s="354"/>
      <c r="G12" s="354"/>
      <c r="H12" s="309"/>
      <c r="I12" s="297"/>
      <c r="J12" s="354"/>
      <c r="K12" s="247"/>
      <c r="L12" s="297"/>
      <c r="M12" s="312"/>
      <c r="N12" s="312"/>
      <c r="O12" s="318"/>
    </row>
    <row r="13" spans="1:15" ht="15" customHeight="1" x14ac:dyDescent="0.25">
      <c r="A13" s="403" t="s">
        <v>292</v>
      </c>
      <c r="B13" s="1909">
        <f>'Input Data'!$D$13</f>
        <v>0</v>
      </c>
      <c r="C13" s="1895"/>
      <c r="D13" s="1895"/>
      <c r="E13" s="1895"/>
      <c r="F13" s="1895"/>
      <c r="G13" s="1895"/>
      <c r="H13" s="1895"/>
      <c r="I13" s="1895"/>
      <c r="J13" s="1895"/>
      <c r="K13" s="1895"/>
      <c r="L13" s="1895"/>
      <c r="M13" s="242" t="s">
        <v>171</v>
      </c>
      <c r="N13" s="1909">
        <f>'Input Data'!D31</f>
        <v>0</v>
      </c>
      <c r="O13" s="1910"/>
    </row>
    <row r="14" spans="1:15" ht="15" customHeight="1" x14ac:dyDescent="0.25">
      <c r="A14" s="403" t="s">
        <v>124</v>
      </c>
      <c r="B14" s="1873">
        <f>'Input Data'!$D$14</f>
        <v>0</v>
      </c>
      <c r="C14" s="1874"/>
      <c r="D14" s="1874"/>
      <c r="E14" s="1874"/>
      <c r="F14" s="1874"/>
      <c r="G14" s="1874"/>
      <c r="H14" s="1874"/>
      <c r="I14" s="1874"/>
      <c r="J14" s="1906"/>
      <c r="K14" s="1906"/>
      <c r="L14" s="1906"/>
      <c r="M14" s="1906"/>
      <c r="N14" s="238" t="s">
        <v>272</v>
      </c>
      <c r="O14" s="413">
        <f>'Input Data'!H14</f>
        <v>0</v>
      </c>
    </row>
    <row r="15" spans="1:15" ht="15" customHeight="1" x14ac:dyDescent="0.25">
      <c r="A15" s="403" t="s">
        <v>269</v>
      </c>
      <c r="B15" s="1894">
        <f>'Input Data'!D15</f>
        <v>0</v>
      </c>
      <c r="C15" s="1894"/>
      <c r="D15" s="1894"/>
      <c r="E15" s="1894"/>
      <c r="F15" s="1894"/>
      <c r="G15" s="1894"/>
      <c r="H15" s="1895"/>
      <c r="I15" s="1895"/>
      <c r="J15" s="1895"/>
      <c r="K15" s="1895"/>
      <c r="L15" s="1895"/>
      <c r="M15" s="1895"/>
      <c r="N15" s="238" t="s">
        <v>272</v>
      </c>
      <c r="O15" s="413">
        <f>'Input Data'!H15</f>
        <v>0</v>
      </c>
    </row>
    <row r="16" spans="1:15" ht="15" customHeight="1" x14ac:dyDescent="0.25">
      <c r="A16" s="1940" t="s">
        <v>89</v>
      </c>
      <c r="B16" s="1928"/>
      <c r="C16" s="1894">
        <f>IF('Input Data'!E18="None","NOT REGISTERED FOR VAT",'Input Data'!E18)</f>
        <v>0</v>
      </c>
      <c r="D16" s="1894"/>
      <c r="E16" s="1894"/>
      <c r="F16" s="1894"/>
      <c r="G16" s="1894"/>
      <c r="H16" s="412"/>
      <c r="I16" s="412"/>
      <c r="J16" s="412"/>
      <c r="K16" s="412"/>
      <c r="L16" s="412"/>
      <c r="M16" s="412"/>
      <c r="N16" s="385"/>
      <c r="O16" s="404"/>
    </row>
    <row r="17" spans="1:15" ht="15" customHeight="1" x14ac:dyDescent="0.25">
      <c r="A17" s="1927" t="s">
        <v>119</v>
      </c>
      <c r="B17" s="1928"/>
      <c r="C17" s="1894">
        <f>'Input Data'!D19</f>
        <v>0</v>
      </c>
      <c r="D17" s="1906"/>
      <c r="E17" s="1906"/>
      <c r="F17" s="1906"/>
      <c r="G17" s="1906"/>
      <c r="H17" s="238"/>
      <c r="I17" s="1890"/>
      <c r="J17" s="1929"/>
      <c r="K17" s="412"/>
      <c r="L17" s="242" t="s">
        <v>172</v>
      </c>
      <c r="M17" s="1872">
        <f>'Input Data'!D16</f>
        <v>0</v>
      </c>
      <c r="N17" s="1895"/>
      <c r="O17" s="170"/>
    </row>
    <row r="18" spans="1:15" ht="15" customHeight="1" x14ac:dyDescent="0.25">
      <c r="A18" s="1930" t="s">
        <v>24</v>
      </c>
      <c r="B18" s="1931"/>
      <c r="C18" s="1934">
        <f>'Input Data'!$D$20</f>
        <v>0</v>
      </c>
      <c r="D18" s="1935"/>
      <c r="E18" s="1935"/>
      <c r="F18" s="1935"/>
      <c r="G18" s="1935"/>
      <c r="H18" s="12"/>
      <c r="I18" s="1890"/>
      <c r="J18" s="1891"/>
      <c r="K18" s="42"/>
      <c r="L18" s="242" t="s">
        <v>177</v>
      </c>
      <c r="M18" s="1894">
        <f>'Input Data'!F16</f>
        <v>0</v>
      </c>
      <c r="N18" s="1895"/>
      <c r="O18" s="170"/>
    </row>
    <row r="19" spans="1:15" ht="15" customHeight="1" x14ac:dyDescent="0.25">
      <c r="A19" s="1930" t="s">
        <v>250</v>
      </c>
      <c r="B19" s="1931"/>
      <c r="C19" s="1904">
        <f>'Input Data'!D30</f>
        <v>0</v>
      </c>
      <c r="D19" s="1905"/>
      <c r="E19" s="1905"/>
      <c r="F19" s="1905"/>
      <c r="G19" s="1905"/>
      <c r="H19" s="1905"/>
      <c r="I19" s="1890"/>
      <c r="J19" s="1891"/>
      <c r="K19" s="42"/>
      <c r="L19" s="242" t="s">
        <v>173</v>
      </c>
      <c r="M19" s="1948">
        <f>'Input Data'!H16</f>
        <v>0</v>
      </c>
      <c r="N19" s="1949"/>
      <c r="O19" s="170"/>
    </row>
    <row r="20" spans="1:15" ht="15" customHeight="1" thickBot="1" x14ac:dyDescent="0.3">
      <c r="A20" s="1938" t="s">
        <v>25</v>
      </c>
      <c r="B20" s="1939"/>
      <c r="C20" s="1941" t="str">
        <f>'Input Data'!$D$26</f>
        <v>USE TIME BASED FEES</v>
      </c>
      <c r="D20" s="1942"/>
      <c r="E20" s="1942"/>
      <c r="F20" s="1942"/>
      <c r="G20" s="1942"/>
      <c r="H20" s="15"/>
      <c r="I20" s="1936"/>
      <c r="J20" s="1937"/>
      <c r="K20" s="264" t="s">
        <v>176</v>
      </c>
      <c r="L20" s="1950">
        <f>'Input Data'!D17</f>
        <v>0</v>
      </c>
      <c r="M20" s="1880"/>
      <c r="N20" s="1880"/>
      <c r="O20" s="1951"/>
    </row>
    <row r="21" spans="1:15" ht="16.2" thickTop="1" x14ac:dyDescent="0.25">
      <c r="A21" s="239" t="str">
        <f>IF('Input Data'!$F$32&gt;3,"STAGE:","STAGE COMPLETED:")</f>
        <v>STAGE:</v>
      </c>
      <c r="B21" s="1921" t="str">
        <f>'Input Data'!D32</f>
        <v>CONTRACT ADMINISTRATION &amp; INSPECTION</v>
      </c>
      <c r="C21" s="1921"/>
      <c r="D21" s="1921"/>
      <c r="E21" s="1921"/>
      <c r="F21" s="1921"/>
      <c r="G21" s="1921"/>
      <c r="H21" s="1921"/>
      <c r="I21" s="1917" t="str">
        <f>IF('Input Data'!$E$42=1,"ESTIMATED TOTAL VALUE OF ENGINEERING WORK","TOTAL VALUE OF ENGINEERING WORK")</f>
        <v>ESTIMATED TOTAL VALUE OF ENGINEERING WORK</v>
      </c>
      <c r="J21" s="1918"/>
      <c r="K21" s="1919"/>
      <c r="L21" s="1918"/>
      <c r="M21" s="1918"/>
      <c r="N21" s="1920"/>
      <c r="O21" s="586">
        <f>IF('Input Data'!$E$10="E",IF('Input Data'!$E$42=1,80%*'Input Data'!$H$47,'Input Data'!$H$47),0)</f>
        <v>0</v>
      </c>
    </row>
    <row r="22" spans="1:15" ht="15.6" thickBot="1" x14ac:dyDescent="0.3">
      <c r="A22" s="1956"/>
      <c r="B22" s="1957"/>
      <c r="C22" s="1957"/>
      <c r="D22" s="1957"/>
      <c r="E22" s="1957"/>
      <c r="F22" s="1957"/>
      <c r="G22" s="1957"/>
      <c r="H22" s="7"/>
      <c r="I22" s="8"/>
      <c r="J22" s="1952" t="str">
        <f>IF('Input Data'!$E$42=1,"ESTIMATED TOTAL VALUE OF PROJECT","TOTAL VALUE OF PROJECT")</f>
        <v>ESTIMATED TOTAL VALUE OF PROJECT</v>
      </c>
      <c r="K22" s="1953"/>
      <c r="L22" s="1953"/>
      <c r="M22" s="1953"/>
      <c r="N22" s="1953"/>
      <c r="O22" s="587">
        <f>IF('Input Data'!$E$10="E",IF('Input Data'!$E$42=1,80%*'Input Data'!$H$49,'Input Data'!$H$49),0)</f>
        <v>0</v>
      </c>
    </row>
    <row r="23" spans="1:15" ht="15.6" thickTop="1" x14ac:dyDescent="0.25">
      <c r="A23" s="101" t="s">
        <v>21</v>
      </c>
      <c r="B23" s="22"/>
      <c r="C23" s="31"/>
      <c r="D23" s="30"/>
      <c r="E23" s="30"/>
      <c r="F23" s="30"/>
      <c r="G23" s="45"/>
      <c r="H23" s="257" t="s">
        <v>198</v>
      </c>
      <c r="I23" s="47">
        <f>IF('Input Data'!E10="E",VLOOKUP($O$21,SCALE_ME,3),0)</f>
        <v>0</v>
      </c>
      <c r="J23" s="48" t="s">
        <v>94</v>
      </c>
      <c r="K23" s="49">
        <f>IF('Input Data'!E10="E",VLOOKUP($O$21,SCALE_ME,4),0)</f>
        <v>0.125</v>
      </c>
      <c r="L23" s="50" t="s">
        <v>197</v>
      </c>
      <c r="M23" s="51">
        <f>IF('Input Data'!E10="E",O21-(VLOOKUP($O$21,SCALE_ME,1)),0)</f>
        <v>0</v>
      </c>
      <c r="N23" s="50" t="s">
        <v>92</v>
      </c>
      <c r="O23" s="588">
        <f>I23+K23*M23</f>
        <v>0</v>
      </c>
    </row>
    <row r="24" spans="1:15" ht="15.6" thickBot="1" x14ac:dyDescent="0.3">
      <c r="A24" s="339"/>
      <c r="B24" s="39"/>
      <c r="C24" s="340"/>
      <c r="D24" s="341"/>
      <c r="E24" s="341"/>
      <c r="F24" s="341"/>
      <c r="G24" s="340"/>
      <c r="H24" s="340"/>
      <c r="I24" s="342"/>
      <c r="J24" s="343"/>
      <c r="K24" s="344"/>
      <c r="L24" s="343"/>
      <c r="M24" s="345" t="s">
        <v>21</v>
      </c>
      <c r="N24" s="343" t="s">
        <v>92</v>
      </c>
      <c r="O24" s="589">
        <f>O23</f>
        <v>0</v>
      </c>
    </row>
    <row r="25" spans="1:15" ht="18" thickTop="1" x14ac:dyDescent="0.25">
      <c r="A25" s="89" t="s">
        <v>621</v>
      </c>
      <c r="B25" s="54"/>
      <c r="C25" s="54"/>
      <c r="D25" s="54"/>
      <c r="E25" s="54"/>
      <c r="F25" s="54"/>
      <c r="G25" s="54"/>
      <c r="H25" s="54"/>
      <c r="I25" s="54"/>
      <c r="J25" s="54"/>
      <c r="K25" s="54"/>
      <c r="L25" s="54"/>
      <c r="M25" s="54"/>
      <c r="N25" s="54"/>
      <c r="O25" s="588"/>
    </row>
    <row r="26" spans="1:15" ht="15" customHeight="1" x14ac:dyDescent="0.25">
      <c r="A26" s="1954" t="s">
        <v>254</v>
      </c>
      <c r="B26" s="1945"/>
      <c r="C26" s="1945"/>
      <c r="D26" s="1945"/>
      <c r="E26" s="1945"/>
      <c r="F26" s="1945"/>
      <c r="G26" s="1945"/>
      <c r="H26" s="1337"/>
      <c r="I26" s="1338">
        <f>IF('Input Data'!$F$32=1,0.05,IF('Input Data'!$F$32=2,Scales!$L$5,IF('Input Data'!$F$32=3,Scales!$L$6,IF('Input Data'!$F$32=4,Scales!$L$7,IF('Input Data'!$F$32&gt;4,0.7)))))</f>
        <v>0.7</v>
      </c>
      <c r="J26" s="1339" t="s">
        <v>2</v>
      </c>
      <c r="K26" s="1340">
        <f>IF('Input Data'!$E$10="E",'Input Data'!$H$43,0)</f>
        <v>0</v>
      </c>
      <c r="L26" s="1341" t="s">
        <v>19</v>
      </c>
      <c r="M26" s="609">
        <f>IF('Input Data'!$H$43&gt;0,$O$24,0)</f>
        <v>0</v>
      </c>
      <c r="N26" s="50" t="s">
        <v>199</v>
      </c>
      <c r="O26" s="588">
        <f>IF('Input Data'!$E$10="E",IF('Input Data'!$H$43&gt;0,IF('Input Data'!$D$34="N",(I26*K26/K27*M26),0),0),0)</f>
        <v>0</v>
      </c>
    </row>
    <row r="27" spans="1:15" ht="12.75" customHeight="1" x14ac:dyDescent="0.25">
      <c r="A27" s="1955"/>
      <c r="B27" s="1945"/>
      <c r="C27" s="1945"/>
      <c r="D27" s="1945"/>
      <c r="E27" s="1945"/>
      <c r="F27" s="1945"/>
      <c r="G27" s="1945"/>
      <c r="H27" s="1337"/>
      <c r="I27" s="1338"/>
      <c r="J27" s="1342"/>
      <c r="K27" s="1343">
        <f>IF('Input Data'!$E$10="E",IF('Input Data'!$H$43&gt;0,'Input Data'!$H$47,0),0)</f>
        <v>0</v>
      </c>
      <c r="L27" s="1341"/>
      <c r="M27" s="609"/>
      <c r="N27" s="52"/>
      <c r="O27" s="588"/>
    </row>
    <row r="28" spans="1:15" ht="9" customHeight="1" x14ac:dyDescent="0.25">
      <c r="A28" s="1344"/>
      <c r="B28" s="1345"/>
      <c r="C28" s="1346"/>
      <c r="D28" s="1346"/>
      <c r="E28" s="1346"/>
      <c r="F28" s="1346"/>
      <c r="G28" s="1347"/>
      <c r="H28" s="1348"/>
      <c r="I28" s="1349"/>
      <c r="J28" s="1350"/>
      <c r="K28" s="1351"/>
      <c r="L28" s="1352"/>
      <c r="M28" s="610"/>
      <c r="N28" s="55"/>
      <c r="O28" s="590"/>
    </row>
    <row r="29" spans="1:15" x14ac:dyDescent="0.25">
      <c r="A29" s="1943" t="s">
        <v>126</v>
      </c>
      <c r="B29" s="1944"/>
      <c r="C29" s="1945"/>
      <c r="D29" s="1945"/>
      <c r="E29" s="1353"/>
      <c r="F29" s="1354"/>
      <c r="G29" s="1347">
        <f>IF('Input Data'!$H$44&gt;0,1.25,0)</f>
        <v>0</v>
      </c>
      <c r="H29" s="1337" t="s">
        <v>1</v>
      </c>
      <c r="I29" s="1338">
        <f>IF('Input Data'!$F$32=1,0.05,IF('Input Data'!$F$32=2,Scales!$L$5,IF('Input Data'!$F$32=3,Scales!$L$6,IF('Input Data'!$F$32=4,Scales!$L$7,IF('Input Data'!$F$32&gt;4,0.7)))))</f>
        <v>0.7</v>
      </c>
      <c r="J29" s="1339" t="s">
        <v>2</v>
      </c>
      <c r="K29" s="1340">
        <f>IF('Input Data'!$E$10="E",'Input Data'!$H$44,0)</f>
        <v>0</v>
      </c>
      <c r="L29" s="1341" t="s">
        <v>19</v>
      </c>
      <c r="M29" s="609">
        <f>IF('Input Data'!$H$44&gt;0,$O$24,0)</f>
        <v>0</v>
      </c>
      <c r="N29" s="50" t="s">
        <v>199</v>
      </c>
      <c r="O29" s="588">
        <f>IF('Input Data'!$E$10="E",IF('Input Data'!$H$44&gt;0,IF('Input Data'!$D$34="N",(G29*I29*K29/K30*M29),0),0),0)</f>
        <v>0</v>
      </c>
    </row>
    <row r="30" spans="1:15" x14ac:dyDescent="0.25">
      <c r="A30" s="1946"/>
      <c r="B30" s="1947"/>
      <c r="C30" s="1947"/>
      <c r="D30" s="1947"/>
      <c r="E30" s="1346"/>
      <c r="F30" s="1346"/>
      <c r="G30" s="1347"/>
      <c r="H30" s="1348"/>
      <c r="I30" s="1349"/>
      <c r="J30" s="1350"/>
      <c r="K30" s="1343">
        <f>IF('Input Data'!$E$10="E",IF('Input Data'!$H$44&gt;0,'Input Data'!$H$47,0),0)</f>
        <v>0</v>
      </c>
      <c r="L30" s="1352"/>
      <c r="M30" s="610"/>
      <c r="N30" s="55"/>
      <c r="O30" s="590"/>
    </row>
    <row r="31" spans="1:15" ht="9" customHeight="1" x14ac:dyDescent="0.25">
      <c r="A31" s="1355"/>
      <c r="B31" s="1356"/>
      <c r="C31" s="1356"/>
      <c r="D31" s="1356"/>
      <c r="E31" s="1346"/>
      <c r="F31" s="1346"/>
      <c r="G31" s="1347"/>
      <c r="H31" s="1348"/>
      <c r="I31" s="1338"/>
      <c r="J31" s="1339"/>
      <c r="K31" s="1357"/>
      <c r="L31" s="1352"/>
      <c r="M31" s="612"/>
      <c r="N31" s="55"/>
      <c r="O31" s="590"/>
    </row>
    <row r="32" spans="1:15" x14ac:dyDescent="0.25">
      <c r="A32" s="1913" t="s">
        <v>103</v>
      </c>
      <c r="B32" s="1914"/>
      <c r="C32" s="1914"/>
      <c r="D32" s="1914"/>
      <c r="E32" s="1346"/>
      <c r="F32" s="1346"/>
      <c r="G32" s="1347">
        <f>IF('Input Data'!$H$45&gt;0,0.25,0)</f>
        <v>0</v>
      </c>
      <c r="H32" s="1348"/>
      <c r="I32" s="1338">
        <f>IF('Input Data'!$F$32=1,0.05,IF('Input Data'!$F$32=2,Scales!$L$5,IF('Input Data'!$F$32=3,Scales!$L$6,IF('Input Data'!$F$32=4,Scales!$L$7,IF('Input Data'!$F$32&gt;4,0.7)))))</f>
        <v>0.7</v>
      </c>
      <c r="J32" s="1339" t="s">
        <v>2</v>
      </c>
      <c r="K32" s="1340">
        <f>IF('Input Data'!$E$10="E",'Input Data'!$H$45,0)</f>
        <v>0</v>
      </c>
      <c r="L32" s="1352" t="s">
        <v>19</v>
      </c>
      <c r="M32" s="609">
        <f>IF('Input Data'!$H$45&gt;0,$O$24,0)</f>
        <v>0</v>
      </c>
      <c r="N32" s="50" t="s">
        <v>199</v>
      </c>
      <c r="O32" s="588">
        <f>IF('Input Data'!$E$10="E",IF('Input Data'!$H$45&gt;0,IF('Input Data'!$D$34="N",(G32*I32*K32/K33*M32),0),0),0)</f>
        <v>0</v>
      </c>
    </row>
    <row r="33" spans="1:16" x14ac:dyDescent="0.25">
      <c r="A33" s="1915"/>
      <c r="B33" s="1916"/>
      <c r="C33" s="1916"/>
      <c r="D33" s="1916"/>
      <c r="E33" s="1346"/>
      <c r="F33" s="1346"/>
      <c r="G33" s="1347"/>
      <c r="H33" s="1348"/>
      <c r="I33" s="1338"/>
      <c r="J33" s="1339"/>
      <c r="K33" s="1343">
        <f>IF('Input Data'!$E$10="E",IF('Input Data'!$H$45&gt;0,'Input Data'!$H$47,0),0)</f>
        <v>0</v>
      </c>
      <c r="L33" s="1352"/>
      <c r="M33" s="612"/>
      <c r="N33" s="55"/>
      <c r="O33" s="590"/>
    </row>
    <row r="34" spans="1:16" ht="9" customHeight="1" x14ac:dyDescent="0.25">
      <c r="A34" s="1358"/>
      <c r="B34" s="1345"/>
      <c r="C34" s="1346"/>
      <c r="D34" s="1346"/>
      <c r="E34" s="1346"/>
      <c r="F34" s="1346"/>
      <c r="G34" s="1347"/>
      <c r="H34" s="1348"/>
      <c r="I34" s="1338"/>
      <c r="J34" s="1339"/>
      <c r="K34" s="1357"/>
      <c r="L34" s="1352"/>
      <c r="M34" s="612"/>
      <c r="N34" s="55"/>
      <c r="O34" s="590"/>
    </row>
    <row r="35" spans="1:16" x14ac:dyDescent="0.25">
      <c r="A35" s="1913" t="s">
        <v>130</v>
      </c>
      <c r="B35" s="1914"/>
      <c r="C35" s="1914"/>
      <c r="D35" s="1914"/>
      <c r="E35" s="1347">
        <f>IF('Input Data'!$H$46&gt;0,0.25,0)</f>
        <v>0</v>
      </c>
      <c r="F35" s="1337" t="s">
        <v>1</v>
      </c>
      <c r="G35" s="1347">
        <f>IF('Input Data'!$H$46&gt;0,1.25,0)</f>
        <v>0</v>
      </c>
      <c r="H35" s="1337" t="s">
        <v>1</v>
      </c>
      <c r="I35" s="1338">
        <f>IF('Input Data'!$F$32=1,0.05,IF('Input Data'!$F$32=2,Scales!$L$5,IF('Input Data'!$F$32=3,Scales!$L$6,IF('Input Data'!$F$32=4,Scales!$L$7,IF('Input Data'!$F$32&gt;4,0.7)))))</f>
        <v>0.7</v>
      </c>
      <c r="J35" s="1339" t="s">
        <v>2</v>
      </c>
      <c r="K35" s="1340">
        <f>IF('Input Data'!$E$10="E",'Input Data'!$H$46,0)</f>
        <v>0</v>
      </c>
      <c r="L35" s="1341" t="s">
        <v>1</v>
      </c>
      <c r="M35" s="609">
        <f>IF('Input Data'!$H$46&gt;0,$O$24,0)</f>
        <v>0</v>
      </c>
      <c r="N35" s="50" t="s">
        <v>199</v>
      </c>
      <c r="O35" s="588">
        <f>IF('Input Data'!$E$10="E",IF('Input Data'!$H$46&gt;0,IF('Input Data'!$D$34="N",(E35*G35*I35*K35/K36*M35),0),0),0)</f>
        <v>0</v>
      </c>
    </row>
    <row r="36" spans="1:16" x14ac:dyDescent="0.25">
      <c r="A36" s="1915"/>
      <c r="B36" s="1916"/>
      <c r="C36" s="1916"/>
      <c r="D36" s="1916"/>
      <c r="E36" s="1359"/>
      <c r="F36" s="1359"/>
      <c r="G36" s="1347"/>
      <c r="H36" s="1348"/>
      <c r="I36" s="1353"/>
      <c r="J36" s="1350"/>
      <c r="K36" s="1343">
        <f>IF('Input Data'!$E$10="E",IF('Input Data'!$H$46&gt;0,'Input Data'!$H$47,0),0)</f>
        <v>0</v>
      </c>
      <c r="L36" s="1352"/>
      <c r="M36" s="610"/>
      <c r="N36" s="55"/>
      <c r="O36" s="590"/>
    </row>
    <row r="37" spans="1:16" ht="9.75" customHeight="1" x14ac:dyDescent="0.25">
      <c r="A37" s="1360"/>
      <c r="B37" s="1361"/>
      <c r="C37" s="1361"/>
      <c r="D37" s="1361"/>
      <c r="E37" s="1361"/>
      <c r="F37" s="1361"/>
      <c r="G37" s="1361"/>
      <c r="H37" s="1361"/>
      <c r="I37" s="1362"/>
      <c r="J37" s="1362"/>
      <c r="K37" s="1363"/>
      <c r="L37" s="1363"/>
      <c r="M37" s="57"/>
      <c r="N37" s="57"/>
      <c r="O37" s="591"/>
    </row>
    <row r="38" spans="1:16" ht="15.6" thickBot="1" x14ac:dyDescent="0.3">
      <c r="A38" s="1364" t="s">
        <v>624</v>
      </c>
      <c r="B38" s="1365"/>
      <c r="C38" s="1366"/>
      <c r="D38" s="1366"/>
      <c r="E38" s="1366"/>
      <c r="F38" s="1366"/>
      <c r="G38" s="1366"/>
      <c r="H38" s="1366"/>
      <c r="I38" s="1367"/>
      <c r="J38" s="1368"/>
      <c r="K38" s="1367"/>
      <c r="L38" s="1369"/>
      <c r="M38" s="270"/>
      <c r="N38" s="269"/>
      <c r="O38" s="592">
        <f>SUM(O26:O37)</f>
        <v>0</v>
      </c>
    </row>
    <row r="39" spans="1:16" x14ac:dyDescent="0.25">
      <c r="A39" s="1370" t="s">
        <v>22</v>
      </c>
      <c r="B39" s="1345"/>
      <c r="C39" s="1346"/>
      <c r="D39" s="1346"/>
      <c r="E39" s="1346"/>
      <c r="F39" s="1346"/>
      <c r="G39" s="1353">
        <f>IF('Input Data'!$F$32=1,1,IF('Input Data'!$F$32&lt;5,'Input Data'!$D$33,1))</f>
        <v>1</v>
      </c>
      <c r="H39" s="1346"/>
      <c r="I39" s="1371">
        <f>IF('Input Data'!$D$34="N",IF('Input Data'!$F$37="y",0.01,0),0)</f>
        <v>0</v>
      </c>
      <c r="J39" s="1337" t="s">
        <v>1</v>
      </c>
      <c r="K39" s="1338">
        <f>IF('Input Data'!$F$32=1,0.05,IF('Input Data'!$F$32=2,Scales!$L$5,IF('Input Data'!$F$32=3,Scales!$L$6,IF('Input Data'!$F$32=4,Scales!$L$7,IF('Input Data'!$F$32&gt;4,0.7)))))</f>
        <v>0.7</v>
      </c>
      <c r="L39" s="1372" t="s">
        <v>19</v>
      </c>
      <c r="M39" s="610">
        <f>IF('Input Data'!$D$34="N",IF('Input Data'!F37="Y",$O$22,0),0)</f>
        <v>0</v>
      </c>
      <c r="N39" s="50" t="s">
        <v>92</v>
      </c>
      <c r="O39" s="590">
        <f>IF('Input Data'!$E$10="E",G39*I39*K39*M39,0)</f>
        <v>0</v>
      </c>
    </row>
    <row r="40" spans="1:16" x14ac:dyDescent="0.25">
      <c r="A40" s="1370" t="s">
        <v>213</v>
      </c>
      <c r="B40" s="1345"/>
      <c r="C40" s="1346"/>
      <c r="D40" s="1346"/>
      <c r="E40" s="1346"/>
      <c r="F40" s="1346"/>
      <c r="G40" s="1353">
        <f>IF('Input Data'!$F$32=1,1,IF('Input Data'!$F$32&lt;5,'Input Data'!$D$33,1))</f>
        <v>1</v>
      </c>
      <c r="H40" s="1373" t="s">
        <v>198</v>
      </c>
      <c r="I40" s="1371">
        <f>IF('Input Data'!$D$34="N",IF('Input Data'!$F$39="y",0.07,0),0)</f>
        <v>0</v>
      </c>
      <c r="J40" s="1337" t="s">
        <v>19</v>
      </c>
      <c r="K40" s="1338">
        <f>IF('Input Data'!$F$32=1,0.05,IF('Input Data'!$F$32=2,Scales!$L$5,IF('Input Data'!$F$32=3,Scales!$L$6,IF('Input Data'!$F$32=4,Scales!$L$7,IF('Input Data'!$F$32&gt;4,0.7)))))</f>
        <v>0.7</v>
      </c>
      <c r="L40" s="1372" t="s">
        <v>19</v>
      </c>
      <c r="M40" s="610">
        <f>IF('Input Data'!$D$34="N",IF('Input Data'!$F$39="Y",$O$24,0),0)</f>
        <v>0</v>
      </c>
      <c r="N40" s="268" t="s">
        <v>196</v>
      </c>
      <c r="O40" s="590">
        <f>IF('Input Data'!E10="E",(G40*I40*K40*M40),0)</f>
        <v>0</v>
      </c>
    </row>
    <row r="41" spans="1:16" ht="10.5" customHeight="1" thickBot="1" x14ac:dyDescent="0.3">
      <c r="A41" s="1374"/>
      <c r="B41" s="1375"/>
      <c r="C41" s="1376"/>
      <c r="D41" s="1376"/>
      <c r="E41" s="1376"/>
      <c r="F41" s="1376"/>
      <c r="G41" s="1376"/>
      <c r="H41" s="1376"/>
      <c r="I41" s="1377"/>
      <c r="J41" s="1378"/>
      <c r="K41" s="1379"/>
      <c r="L41" s="1380"/>
      <c r="M41" s="245"/>
      <c r="N41" s="246"/>
      <c r="O41" s="593"/>
    </row>
    <row r="42" spans="1:16" ht="15.6" thickBot="1" x14ac:dyDescent="0.3">
      <c r="A42" s="1381"/>
      <c r="B42" s="1382"/>
      <c r="C42" s="1382"/>
      <c r="D42" s="1382"/>
      <c r="E42" s="1382"/>
      <c r="F42" s="1382"/>
      <c r="G42" s="1383"/>
      <c r="H42" s="1384"/>
      <c r="I42" s="1385"/>
      <c r="J42" s="1386"/>
      <c r="K42" s="1387"/>
      <c r="L42" s="1385"/>
      <c r="M42" s="271" t="s">
        <v>217</v>
      </c>
      <c r="N42" s="58"/>
      <c r="O42" s="594">
        <f>IF('Input Data'!E10="e",O38+SUM(O39:O40),0)</f>
        <v>0</v>
      </c>
    </row>
    <row r="43" spans="1:16" ht="18" thickTop="1" x14ac:dyDescent="0.25">
      <c r="A43" s="1388" t="s">
        <v>624</v>
      </c>
      <c r="B43" s="1345"/>
      <c r="C43" s="1345"/>
      <c r="D43" s="1345"/>
      <c r="E43" s="1345"/>
      <c r="F43" s="1345"/>
      <c r="G43" s="1345"/>
      <c r="H43" s="1345"/>
      <c r="I43" s="1345"/>
      <c r="J43" s="1345"/>
      <c r="K43" s="1345"/>
      <c r="L43" s="1345"/>
      <c r="M43" s="60"/>
      <c r="N43" s="21"/>
      <c r="O43" s="590"/>
    </row>
    <row r="44" spans="1:16" x14ac:dyDescent="0.25">
      <c r="A44" s="1954" t="s">
        <v>254</v>
      </c>
      <c r="B44" s="1945"/>
      <c r="C44" s="1945"/>
      <c r="D44" s="1337"/>
      <c r="E44" s="1337"/>
      <c r="F44" s="1337"/>
      <c r="G44" s="1346"/>
      <c r="H44" s="1346"/>
      <c r="I44" s="1353">
        <f>IF('Input Data'!$F$32&lt;5,0,IF('Input Data'!$F$32=5,0.25,IF('Input Data'!$F$32=6,0.3)))</f>
        <v>0.25</v>
      </c>
      <c r="J44" s="1359" t="s">
        <v>2</v>
      </c>
      <c r="K44" s="1389">
        <f>IF('Input Data'!$E$10="E",'Input Data'!H52,0)</f>
        <v>0</v>
      </c>
      <c r="L44" s="1341" t="s">
        <v>19</v>
      </c>
      <c r="M44" s="614">
        <f>IF('Input Data'!$H$52&gt;0,IF('Input Data'!$E$10="E",$O$24,0),0)</f>
        <v>0</v>
      </c>
      <c r="N44" s="50" t="s">
        <v>199</v>
      </c>
      <c r="O44" s="588">
        <f>IF(M44&gt;0,(I44*K44/K45*M44),0)</f>
        <v>0</v>
      </c>
    </row>
    <row r="45" spans="1:16" x14ac:dyDescent="0.25">
      <c r="A45" s="1955"/>
      <c r="B45" s="1945"/>
      <c r="C45" s="1945"/>
      <c r="D45" s="1337"/>
      <c r="E45" s="1337"/>
      <c r="F45" s="1337"/>
      <c r="G45" s="1346"/>
      <c r="H45" s="1346"/>
      <c r="I45" s="1353"/>
      <c r="J45" s="1346"/>
      <c r="K45" s="1343">
        <f>IF('Input Data'!$E$10="E",IF('Input Data'!$F$32&gt;4,'Input Data'!$H$47,0),0)</f>
        <v>0</v>
      </c>
      <c r="L45" s="1341"/>
      <c r="M45" s="609"/>
      <c r="N45" s="47"/>
      <c r="O45" s="588"/>
    </row>
    <row r="46" spans="1:16" ht="9" customHeight="1" x14ac:dyDescent="0.25">
      <c r="A46" s="1390"/>
      <c r="B46" s="1346"/>
      <c r="C46" s="1346"/>
      <c r="D46" s="1337"/>
      <c r="E46" s="1337"/>
      <c r="F46" s="1337"/>
      <c r="G46" s="1346"/>
      <c r="H46" s="1346"/>
      <c r="I46" s="1353"/>
      <c r="J46" s="1346"/>
      <c r="K46" s="1343"/>
      <c r="L46" s="1341"/>
      <c r="M46" s="609"/>
      <c r="N46" s="47"/>
      <c r="O46" s="588"/>
    </row>
    <row r="47" spans="1:16" ht="15.6" x14ac:dyDescent="0.3">
      <c r="A47" s="1943" t="s">
        <v>126</v>
      </c>
      <c r="B47" s="1944"/>
      <c r="C47" s="1945"/>
      <c r="D47" s="1337"/>
      <c r="E47" s="1337"/>
      <c r="F47" s="1337"/>
      <c r="G47" s="1347">
        <f>IF('Input Data'!$H$53&gt;0,1.25,0)</f>
        <v>0</v>
      </c>
      <c r="H47" s="1337" t="s">
        <v>1</v>
      </c>
      <c r="I47" s="1353">
        <f>IF('Input Data'!$F$32&lt;5,0,IF('Input Data'!$F$32=5,0.25,IF('Input Data'!$F$32=6,0.3)))</f>
        <v>0.25</v>
      </c>
      <c r="J47" s="1359" t="s">
        <v>2</v>
      </c>
      <c r="K47" s="1389">
        <f>IF('Input Data'!$E$10="E",'Input Data'!H53,0)</f>
        <v>0</v>
      </c>
      <c r="L47" s="1341" t="s">
        <v>19</v>
      </c>
      <c r="M47" s="614">
        <f>IF('Input Data'!$H$53&gt;0,IF('Input Data'!$E$10="E",$O$24,0),0)</f>
        <v>0</v>
      </c>
      <c r="N47" s="50" t="s">
        <v>199</v>
      </c>
      <c r="O47" s="588">
        <f>IF(M47&gt;0,(G47*I47*K47/K48*M47),0)</f>
        <v>0</v>
      </c>
      <c r="P47" s="1336"/>
    </row>
    <row r="48" spans="1:16" x14ac:dyDescent="0.25">
      <c r="A48" s="1962"/>
      <c r="B48" s="1963"/>
      <c r="C48" s="1963"/>
      <c r="D48" s="1391"/>
      <c r="E48" s="1391"/>
      <c r="F48" s="1391"/>
      <c r="G48" s="1392"/>
      <c r="H48" s="1392"/>
      <c r="I48" s="1393"/>
      <c r="J48" s="1361"/>
      <c r="K48" s="1340">
        <f>IF('Input Data'!$E$10="E",IF('Input Data'!$F$32&gt;4,'Input Data'!$H$47,0),0)</f>
        <v>0</v>
      </c>
      <c r="L48" s="1394"/>
      <c r="M48" s="616"/>
      <c r="N48" s="56"/>
      <c r="O48" s="595"/>
    </row>
    <row r="49" spans="1:16" ht="15.6" thickBot="1" x14ac:dyDescent="0.3">
      <c r="A49" s="1395"/>
      <c r="B49" s="1396"/>
      <c r="C49" s="1396"/>
      <c r="D49" s="1396"/>
      <c r="E49" s="1396"/>
      <c r="F49" s="1396"/>
      <c r="G49" s="1396"/>
      <c r="H49" s="1396"/>
      <c r="I49" s="1396"/>
      <c r="J49" s="1396"/>
      <c r="K49" s="1396"/>
      <c r="L49" s="1396"/>
      <c r="M49" s="415"/>
      <c r="N49" s="415"/>
      <c r="O49" s="596">
        <f>SUM(O44:O48)</f>
        <v>0</v>
      </c>
    </row>
    <row r="50" spans="1:16" ht="9.75" customHeight="1" x14ac:dyDescent="0.25">
      <c r="A50" s="1358"/>
      <c r="B50" s="1345"/>
      <c r="C50" s="1346"/>
      <c r="D50" s="1346"/>
      <c r="E50" s="1346"/>
      <c r="F50" s="1346"/>
      <c r="G50" s="1346"/>
      <c r="H50" s="1346"/>
      <c r="I50" s="1353"/>
      <c r="J50" s="1337"/>
      <c r="K50" s="1353"/>
      <c r="L50" s="1372"/>
      <c r="M50" s="47"/>
      <c r="N50" s="50"/>
      <c r="O50" s="590"/>
    </row>
    <row r="51" spans="1:16" x14ac:dyDescent="0.25">
      <c r="A51" s="1370" t="s">
        <v>22</v>
      </c>
      <c r="B51" s="1345"/>
      <c r="C51" s="1346"/>
      <c r="D51" s="1346"/>
      <c r="E51" s="1346"/>
      <c r="F51" s="1346"/>
      <c r="G51" s="1353">
        <f>IF('Input Data'!$F$37="n",0,IF('Input Data'!$F$32&gt;4,'Input Data'!H55/'Input Data'!H49,0))</f>
        <v>0</v>
      </c>
      <c r="H51" s="1337" t="s">
        <v>1</v>
      </c>
      <c r="I51" s="1371">
        <f>IF('Input Data'!$F$37="y",0.01,0)</f>
        <v>0</v>
      </c>
      <c r="J51" s="1337" t="s">
        <v>1</v>
      </c>
      <c r="K51" s="1353">
        <f>IF('Input Data'!$F$32&lt;5,0,IF('Input Data'!$F$32=5,0.25,IF('Input Data'!$F$32=6,0.3)))</f>
        <v>0.25</v>
      </c>
      <c r="L51" s="1372" t="s">
        <v>19</v>
      </c>
      <c r="M51" s="610">
        <f>IF('Input Data'!$E$10="E",IF('Input Data'!$F$37="y",$O$22,0),0)</f>
        <v>0</v>
      </c>
      <c r="N51" s="50" t="s">
        <v>92</v>
      </c>
      <c r="O51" s="590">
        <f>IF('Input Data'!$E$10="E",(G51*I51*K51*M51),0)</f>
        <v>0</v>
      </c>
    </row>
    <row r="52" spans="1:16" x14ac:dyDescent="0.25">
      <c r="A52" s="1397" t="s">
        <v>213</v>
      </c>
      <c r="B52" s="1346"/>
      <c r="C52" s="1346"/>
      <c r="D52" s="1346"/>
      <c r="E52" s="1346"/>
      <c r="F52" s="1346"/>
      <c r="G52" s="1353">
        <f>IF('Input Data'!$F$39="n",0,IF('Input Data'!$F$32&gt;4,'Input Data'!H54/'Input Data'!H47,0))</f>
        <v>0</v>
      </c>
      <c r="H52" s="1337" t="s">
        <v>1</v>
      </c>
      <c r="I52" s="1371">
        <f>IF('Input Data'!$F$39="y",0.07,0)</f>
        <v>0</v>
      </c>
      <c r="J52" s="1337" t="s">
        <v>19</v>
      </c>
      <c r="K52" s="1353">
        <f>IF('Input Data'!$F$32&lt;5,0,IF('Input Data'!$F$32=5,0.25,IF('Input Data'!$F$32=6,0.3)))</f>
        <v>0.25</v>
      </c>
      <c r="L52" s="1372" t="s">
        <v>19</v>
      </c>
      <c r="M52" s="610">
        <f>IF('Input Data'!$E$10="E",IF('Input Data'!$F$37="Y",$O$24,0),0)</f>
        <v>0</v>
      </c>
      <c r="N52" s="268" t="s">
        <v>196</v>
      </c>
      <c r="O52" s="590">
        <f>IF('Input Data'!$E$10="E",(G52*I52*K52*M52),0)</f>
        <v>0</v>
      </c>
    </row>
    <row r="53" spans="1:16" ht="9" customHeight="1" thickBot="1" x14ac:dyDescent="0.3">
      <c r="A53" s="1374"/>
      <c r="B53" s="1375"/>
      <c r="C53" s="1376"/>
      <c r="D53" s="1376"/>
      <c r="E53" s="1376"/>
      <c r="F53" s="1376"/>
      <c r="G53" s="1376"/>
      <c r="H53" s="1376"/>
      <c r="I53" s="1377"/>
      <c r="J53" s="1378"/>
      <c r="K53" s="1379"/>
      <c r="L53" s="1380"/>
      <c r="M53" s="245"/>
      <c r="N53" s="246"/>
      <c r="O53" s="593"/>
    </row>
    <row r="54" spans="1:16" ht="15.6" thickBot="1" x14ac:dyDescent="0.3">
      <c r="A54" s="1398"/>
      <c r="B54" s="1375"/>
      <c r="C54" s="1375"/>
      <c r="D54" s="1399"/>
      <c r="E54" s="1399"/>
      <c r="F54" s="1399"/>
      <c r="G54" s="1400"/>
      <c r="H54" s="1401"/>
      <c r="I54" s="1402"/>
      <c r="J54" s="1403"/>
      <c r="K54" s="1404"/>
      <c r="L54" s="1404"/>
      <c r="M54" s="262" t="s">
        <v>218</v>
      </c>
      <c r="N54" s="42"/>
      <c r="O54" s="597">
        <f>IF( 'Input Data'!E10="e",IF('Input Data'!D32&lt;4,0,O49+SUM(O51:O52)),0)</f>
        <v>0</v>
      </c>
    </row>
    <row r="55" spans="1:16" ht="15.6" thickBot="1" x14ac:dyDescent="0.3">
      <c r="A55" s="1405"/>
      <c r="B55" s="1406"/>
      <c r="C55" s="1406"/>
      <c r="D55" s="1406"/>
      <c r="E55" s="1406"/>
      <c r="F55" s="1406"/>
      <c r="G55" s="1406"/>
      <c r="H55" s="1406"/>
      <c r="I55" s="1407"/>
      <c r="J55" s="1406"/>
      <c r="K55" s="1406"/>
      <c r="L55" s="1406"/>
      <c r="M55" s="557" t="s">
        <v>16</v>
      </c>
      <c r="N55" s="263"/>
      <c r="O55" s="598">
        <f>O42+O54</f>
        <v>0</v>
      </c>
    </row>
    <row r="56" spans="1:16" ht="18.600000000000001" thickTop="1" thickBot="1" x14ac:dyDescent="0.3">
      <c r="A56" s="1408"/>
      <c r="B56" s="1409"/>
      <c r="C56" s="1409"/>
      <c r="D56" s="1409"/>
      <c r="E56" s="1409"/>
      <c r="F56" s="1410" t="s">
        <v>156</v>
      </c>
      <c r="G56" s="1411"/>
      <c r="H56" s="1409"/>
      <c r="I56" s="1411"/>
      <c r="J56" s="1409"/>
      <c r="K56" s="1409"/>
      <c r="L56" s="1409"/>
      <c r="M56" s="438">
        <f>'Input Data'!D27</f>
        <v>1</v>
      </c>
      <c r="N56" s="439" t="s">
        <v>154</v>
      </c>
      <c r="O56" s="599">
        <f>M56*O55</f>
        <v>0</v>
      </c>
      <c r="P56" s="346"/>
    </row>
    <row r="57" spans="1:16" ht="18" thickTop="1" x14ac:dyDescent="0.25">
      <c r="A57" s="1388" t="s">
        <v>638</v>
      </c>
      <c r="B57" s="1345"/>
      <c r="C57" s="1345"/>
      <c r="D57" s="1345"/>
      <c r="E57" s="1345"/>
      <c r="F57" s="1345"/>
      <c r="G57" s="1345"/>
      <c r="H57" s="1412"/>
      <c r="I57" s="1413"/>
      <c r="J57" s="1414"/>
      <c r="K57" s="1345"/>
      <c r="L57" s="1415"/>
      <c r="M57" s="21"/>
      <c r="N57" s="69"/>
      <c r="O57" s="590"/>
    </row>
    <row r="58" spans="1:16" x14ac:dyDescent="0.25">
      <c r="A58" s="1416" t="s">
        <v>311</v>
      </c>
      <c r="B58" s="1417"/>
      <c r="C58" s="1417"/>
      <c r="D58" s="1417"/>
      <c r="E58" s="1417"/>
      <c r="F58" s="1417"/>
      <c r="G58" s="1417"/>
      <c r="H58" s="1345"/>
      <c r="I58" s="1418" t="s">
        <v>97</v>
      </c>
      <c r="J58" s="1414"/>
      <c r="K58" s="1419" t="s">
        <v>4</v>
      </c>
      <c r="L58" s="1345"/>
      <c r="M58" s="64" t="s">
        <v>95</v>
      </c>
      <c r="N58" s="65" t="s">
        <v>92</v>
      </c>
      <c r="O58" s="590">
        <f>IF('Input Data'!E10="E",IF(O24&gt;0,0,'Time Based'!I37),0)</f>
        <v>0</v>
      </c>
    </row>
    <row r="59" spans="1:16" x14ac:dyDescent="0.25">
      <c r="A59" s="24" t="s">
        <v>96</v>
      </c>
      <c r="B59" s="21"/>
      <c r="C59" s="32">
        <f>IF('Input Data'!$D$34="Y",0.3,1)</f>
        <v>1</v>
      </c>
      <c r="D59" s="32" t="s">
        <v>19</v>
      </c>
      <c r="E59" s="258">
        <f>IF('Input Data'!$F$38="Y",0.06,0)</f>
        <v>0</v>
      </c>
      <c r="F59" s="30" t="s">
        <v>1</v>
      </c>
      <c r="G59" s="1420">
        <f>IF('Input Data'!$F$38="y",IF('Input Data'!$F$32=1,0.05,IF('Input Data'!$F$32=2,Scales!$L$5,IF('Input Data'!$F$32=3,Scales!$L$6,IF('Input Data'!$F$32=4,Scales!$L$7,IF('Input Data'!$F$32=5,0.95,1))))),0)</f>
        <v>0</v>
      </c>
      <c r="H59" s="30" t="s">
        <v>1</v>
      </c>
      <c r="I59" s="66">
        <f>IF('Input Data'!$F$38="Y",$O$23,0)</f>
        <v>0</v>
      </c>
      <c r="J59" s="67" t="s">
        <v>92</v>
      </c>
      <c r="K59" s="68">
        <f>IF('Input Data'!E10="E",IF('Input Data'!$F$38="y",(C59*E59*G59*I59),0),0)</f>
        <v>0</v>
      </c>
      <c r="L59" s="21"/>
      <c r="M59" s="64" t="s">
        <v>95</v>
      </c>
      <c r="N59" s="65" t="s">
        <v>92</v>
      </c>
      <c r="O59" s="590">
        <f>IF('Input Data'!$F$38="Y",IF('Input Data'!$E$10="E",IF('Time Based'!$I$22&lt;$K$59,'Time Based'!$I$22,$K$59),0),0)</f>
        <v>0</v>
      </c>
    </row>
    <row r="60" spans="1:16" ht="15.6" thickBot="1" x14ac:dyDescent="0.3">
      <c r="A60" s="24" t="s">
        <v>148</v>
      </c>
      <c r="B60" s="21"/>
      <c r="C60" s="21"/>
      <c r="D60" s="21"/>
      <c r="E60" s="21"/>
      <c r="F60" s="21"/>
      <c r="G60" s="21"/>
      <c r="H60" s="21"/>
      <c r="I60" s="69" t="s">
        <v>40</v>
      </c>
      <c r="J60" s="63"/>
      <c r="K60" s="35"/>
      <c r="L60" s="35"/>
      <c r="M60" s="102" t="s">
        <v>95</v>
      </c>
      <c r="N60" s="103" t="s">
        <v>92</v>
      </c>
      <c r="O60" s="593">
        <f>IF('Input Data'!$E$10="E",'Time Based'!I77,0)</f>
        <v>0</v>
      </c>
    </row>
    <row r="61" spans="1:16" ht="15.6" thickBot="1" x14ac:dyDescent="0.3">
      <c r="A61" s="38"/>
      <c r="B61" s="39"/>
      <c r="C61" s="39"/>
      <c r="D61" s="28"/>
      <c r="E61" s="28"/>
      <c r="F61" s="28"/>
      <c r="G61" s="28"/>
      <c r="H61" s="70"/>
      <c r="I61" s="71"/>
      <c r="J61" s="72"/>
      <c r="K61" s="71"/>
      <c r="L61" s="28"/>
      <c r="M61" s="555" t="s">
        <v>310</v>
      </c>
      <c r="N61" s="73"/>
      <c r="O61" s="600">
        <f>SUM(O58:O60)</f>
        <v>0</v>
      </c>
    </row>
    <row r="62" spans="1:16" ht="16.8" thickTop="1" thickBot="1" x14ac:dyDescent="0.3">
      <c r="A62" s="1186"/>
      <c r="B62" s="1187"/>
      <c r="C62" s="1187"/>
      <c r="D62" s="227"/>
      <c r="E62" s="227"/>
      <c r="F62" s="227"/>
      <c r="G62" s="227"/>
      <c r="H62" s="1188"/>
      <c r="I62" s="1189"/>
      <c r="J62" s="1190"/>
      <c r="K62" s="1189"/>
      <c r="L62" s="227"/>
      <c r="M62" s="730" t="s">
        <v>334</v>
      </c>
      <c r="N62" s="439"/>
      <c r="O62" s="731">
        <f>IF('Input Data'!E10="E",'Input Data'!F11*'Input Data'!H11,0)</f>
        <v>0</v>
      </c>
    </row>
    <row r="63" spans="1:16" ht="18" thickTop="1" x14ac:dyDescent="0.25">
      <c r="A63" s="90" t="s">
        <v>639</v>
      </c>
      <c r="B63" s="21"/>
      <c r="C63" s="21"/>
      <c r="D63" s="21"/>
      <c r="E63" s="21"/>
      <c r="F63" s="21"/>
      <c r="G63" s="21"/>
      <c r="H63" s="21"/>
      <c r="I63" s="21"/>
      <c r="J63" s="21"/>
      <c r="K63" s="21"/>
      <c r="L63" s="21"/>
      <c r="M63" s="74"/>
      <c r="N63" s="66"/>
      <c r="O63" s="590"/>
    </row>
    <row r="64" spans="1:16" x14ac:dyDescent="0.25">
      <c r="A64" s="24" t="s">
        <v>596</v>
      </c>
      <c r="B64" s="21"/>
      <c r="C64" s="558" t="s">
        <v>155</v>
      </c>
      <c r="D64" s="21"/>
      <c r="E64" s="21"/>
      <c r="F64" s="21"/>
      <c r="G64" s="21"/>
      <c r="H64" s="21"/>
      <c r="I64" s="21"/>
      <c r="J64" s="21"/>
      <c r="K64" s="69"/>
      <c r="L64" s="21"/>
      <c r="M64" s="22"/>
      <c r="N64" s="22"/>
      <c r="O64" s="601">
        <f>IF('Input Data'!$E$10="E",'Subsistance &amp; Travelling'!O86,0)</f>
        <v>0</v>
      </c>
    </row>
    <row r="65" spans="1:15" x14ac:dyDescent="0.25">
      <c r="A65" s="24" t="s">
        <v>74</v>
      </c>
      <c r="B65" s="21"/>
      <c r="C65" s="21"/>
      <c r="D65" s="21"/>
      <c r="E65" s="21"/>
      <c r="F65" s="21"/>
      <c r="G65" s="21"/>
      <c r="H65" s="21"/>
      <c r="I65" s="21"/>
      <c r="J65" s="21"/>
      <c r="K65" s="69"/>
      <c r="L65" s="21"/>
      <c r="M65" s="22"/>
      <c r="N65" s="22"/>
      <c r="O65" s="601">
        <f>IF('Input Data'!$E$10="E",'Typing, Duplicating, &amp; Printing'!J66,0)</f>
        <v>0</v>
      </c>
    </row>
    <row r="66" spans="1:15" x14ac:dyDescent="0.25">
      <c r="A66" s="24" t="s">
        <v>598</v>
      </c>
      <c r="B66" s="21"/>
      <c r="C66" s="21"/>
      <c r="D66" s="21"/>
      <c r="E66" s="21"/>
      <c r="F66" s="21"/>
      <c r="G66" s="21"/>
      <c r="H66" s="21"/>
      <c r="I66" s="21"/>
      <c r="J66" s="21"/>
      <c r="K66" s="69"/>
      <c r="L66" s="21"/>
      <c r="M66" s="22"/>
      <c r="N66" s="22"/>
      <c r="O66" s="601">
        <f>'Site staff &amp; Other'!I48</f>
        <v>0</v>
      </c>
    </row>
    <row r="67" spans="1:15" ht="15.6" thickBot="1" x14ac:dyDescent="0.3">
      <c r="A67" s="1209" t="s">
        <v>592</v>
      </c>
      <c r="B67" s="21"/>
      <c r="C67" s="21"/>
      <c r="D67" s="21"/>
      <c r="E67" s="21"/>
      <c r="F67" s="21"/>
      <c r="G67" s="21"/>
      <c r="H67" s="21"/>
      <c r="I67" s="21"/>
      <c r="J67" s="21"/>
      <c r="K67" s="1210"/>
      <c r="L67" s="35"/>
      <c r="M67" s="102"/>
      <c r="N67" s="1211"/>
      <c r="O67" s="1212">
        <f>'Site staff &amp; Other'!I63</f>
        <v>0</v>
      </c>
    </row>
    <row r="68" spans="1:15" ht="15.6" thickBot="1" x14ac:dyDescent="0.3">
      <c r="A68" s="38"/>
      <c r="B68" s="28"/>
      <c r="C68" s="28"/>
      <c r="D68" s="28"/>
      <c r="E68" s="28"/>
      <c r="F68" s="28"/>
      <c r="G68" s="28"/>
      <c r="H68" s="76"/>
      <c r="I68" s="39"/>
      <c r="J68" s="28"/>
      <c r="K68" s="76"/>
      <c r="L68" s="76"/>
      <c r="M68" s="264" t="s">
        <v>219</v>
      </c>
      <c r="N68" s="39"/>
      <c r="O68" s="602">
        <f>SUM(O64:O67)</f>
        <v>0</v>
      </c>
    </row>
    <row r="69" spans="1:15" ht="18.75" customHeight="1" thickTop="1" x14ac:dyDescent="0.25">
      <c r="A69" s="77"/>
      <c r="B69" s="78"/>
      <c r="C69" s="78"/>
      <c r="D69" s="21"/>
      <c r="E69" s="21"/>
      <c r="F69" s="21"/>
      <c r="G69" s="21"/>
      <c r="H69" s="21"/>
      <c r="I69" s="42"/>
      <c r="J69" s="230"/>
      <c r="K69" s="63"/>
      <c r="L69" s="63"/>
      <c r="M69" s="293" t="s">
        <v>220</v>
      </c>
      <c r="N69" s="21"/>
      <c r="O69" s="603">
        <f>O56-O62+O61+O68</f>
        <v>0</v>
      </c>
    </row>
    <row r="70" spans="1:15" ht="15.6" thickBot="1" x14ac:dyDescent="0.3">
      <c r="A70" s="24"/>
      <c r="B70" s="21"/>
      <c r="C70" s="21"/>
      <c r="D70" s="21"/>
      <c r="E70" s="21"/>
      <c r="F70" s="21"/>
      <c r="G70" s="22"/>
      <c r="H70" s="22"/>
      <c r="I70" s="79"/>
      <c r="J70" s="22"/>
      <c r="K70" s="22"/>
      <c r="L70" s="21"/>
      <c r="M70" s="64" t="s">
        <v>91</v>
      </c>
      <c r="N70" s="21"/>
      <c r="O70" s="604">
        <f>IF('Input Data'!E10="E",ROUND('Previous Claims'!M42,2),0)</f>
        <v>0</v>
      </c>
    </row>
    <row r="71" spans="1:15" ht="15.6" thickBot="1" x14ac:dyDescent="0.3">
      <c r="A71" s="24"/>
      <c r="B71" s="21"/>
      <c r="C71" s="28"/>
      <c r="D71" s="21"/>
      <c r="E71" s="21"/>
      <c r="F71" s="21"/>
      <c r="G71" s="80"/>
      <c r="H71" s="33"/>
      <c r="I71" s="42"/>
      <c r="J71" s="281"/>
      <c r="K71" s="281"/>
      <c r="L71" s="281"/>
      <c r="M71" s="280" t="str">
        <f>IF($O$69&lt;$O$70,"OVERPAID BY (Excl Tax)",IF($O$69&gt;$O$70,"FEES NOW DUE EXCLUDING VAT &amp; NON TAXABLE AMOUNT",""))</f>
        <v/>
      </c>
      <c r="N71" s="281"/>
      <c r="O71" s="603">
        <f>O69-O70</f>
        <v>0</v>
      </c>
    </row>
    <row r="72" spans="1:15" ht="15.6" thickTop="1" x14ac:dyDescent="0.25">
      <c r="A72" s="77"/>
      <c r="B72" s="78"/>
      <c r="C72" s="21"/>
      <c r="D72" s="78" t="s">
        <v>0</v>
      </c>
      <c r="E72" s="78"/>
      <c r="F72" s="78"/>
      <c r="G72" s="81"/>
      <c r="H72" s="82">
        <f>IF('Input Data'!D28&lt;43191,14%,15%)</f>
        <v>0.15</v>
      </c>
      <c r="I72" s="78" t="s">
        <v>17</v>
      </c>
      <c r="J72" s="22"/>
      <c r="K72" s="83">
        <f>IF('Input Data'!E21&lt;0,0,O71)</f>
        <v>0</v>
      </c>
      <c r="L72" s="78"/>
      <c r="M72" s="78"/>
      <c r="N72" s="78"/>
      <c r="O72" s="605">
        <f>IF('Input Data'!D18="none",0,H72*K72)</f>
        <v>0</v>
      </c>
    </row>
    <row r="73" spans="1:15" x14ac:dyDescent="0.25">
      <c r="A73" s="24"/>
      <c r="B73" s="21"/>
      <c r="C73" s="21"/>
      <c r="D73" s="80"/>
      <c r="E73" s="80"/>
      <c r="F73" s="80"/>
      <c r="G73" s="69"/>
      <c r="H73" s="84"/>
      <c r="I73" s="27"/>
      <c r="J73" s="85"/>
      <c r="K73" s="34"/>
      <c r="L73" s="86"/>
      <c r="M73" s="556" t="s">
        <v>104</v>
      </c>
      <c r="N73" s="87"/>
      <c r="O73" s="618">
        <f>IF('Input Data'!E10="E",'Non Taxable'!J20,0)</f>
        <v>0</v>
      </c>
    </row>
    <row r="74" spans="1:15" ht="21.75" customHeight="1" thickBot="1" x14ac:dyDescent="0.3">
      <c r="A74" s="282"/>
      <c r="B74" s="283"/>
      <c r="C74" s="283"/>
      <c r="D74" s="283"/>
      <c r="E74" s="283"/>
      <c r="F74" s="283"/>
      <c r="G74" s="283"/>
      <c r="H74" s="641"/>
      <c r="I74" s="436"/>
      <c r="J74" s="642"/>
      <c r="K74" s="642"/>
      <c r="L74" s="642"/>
      <c r="M74" s="643" t="str">
        <f>IF($O$69&lt;$O$70,"AMOUNT TO BE RECOVERED (Incl VAT)",IF($O$69&gt;$O$70,"FEES NOW DUE INCLUDING VAT &amp; NON TAXABLE AMOUNT",""))</f>
        <v/>
      </c>
      <c r="N74" s="642"/>
      <c r="O74" s="644">
        <f>O71+O72+O73</f>
        <v>0</v>
      </c>
    </row>
    <row r="75" spans="1:15" ht="16.2" thickTop="1" x14ac:dyDescent="0.25">
      <c r="A75" s="499" t="s">
        <v>293</v>
      </c>
      <c r="B75" s="500"/>
      <c r="C75" s="501"/>
      <c r="D75" s="501"/>
      <c r="E75" s="501"/>
      <c r="F75" s="501"/>
      <c r="G75" s="501"/>
      <c r="H75" s="501"/>
      <c r="I75" s="501"/>
      <c r="J75" s="502"/>
      <c r="K75" s="502"/>
      <c r="L75" s="502"/>
      <c r="M75" s="503"/>
      <c r="N75" s="504"/>
      <c r="O75" s="505"/>
    </row>
    <row r="76" spans="1:15" ht="7.5" customHeight="1" x14ac:dyDescent="0.25">
      <c r="A76" s="506"/>
      <c r="B76" s="500"/>
      <c r="C76" s="501"/>
      <c r="D76" s="501"/>
      <c r="E76" s="501"/>
      <c r="F76" s="501"/>
      <c r="G76" s="501"/>
      <c r="H76" s="501"/>
      <c r="I76" s="501"/>
      <c r="J76" s="502"/>
      <c r="K76" s="502"/>
      <c r="L76" s="502"/>
      <c r="M76" s="503"/>
      <c r="N76" s="504"/>
      <c r="O76" s="505"/>
    </row>
    <row r="77" spans="1:15" ht="15.6" x14ac:dyDescent="0.25">
      <c r="A77" s="507"/>
      <c r="B77" s="508" t="s">
        <v>222</v>
      </c>
      <c r="C77" s="509"/>
      <c r="D77" s="510"/>
      <c r="E77" s="511"/>
      <c r="F77" s="511"/>
      <c r="G77" s="511"/>
      <c r="H77" s="511"/>
      <c r="I77" s="512"/>
      <c r="J77" s="508" t="s">
        <v>223</v>
      </c>
      <c r="K77" s="513"/>
      <c r="L77" s="513"/>
      <c r="M77" s="503"/>
      <c r="N77" s="504"/>
      <c r="O77" s="505"/>
    </row>
    <row r="78" spans="1:15" ht="8.25" customHeight="1" thickBot="1" x14ac:dyDescent="0.3">
      <c r="A78" s="514"/>
      <c r="B78" s="515"/>
      <c r="C78" s="516"/>
      <c r="D78" s="516"/>
      <c r="E78" s="516" t="s">
        <v>224</v>
      </c>
      <c r="F78" s="516"/>
      <c r="G78" s="516"/>
      <c r="H78" s="516"/>
      <c r="I78" s="517"/>
      <c r="J78" s="518"/>
      <c r="K78" s="518"/>
      <c r="L78" s="518"/>
      <c r="M78" s="519"/>
      <c r="N78" s="520"/>
      <c r="O78" s="521"/>
    </row>
    <row r="79" spans="1:15" ht="15.6" thickTop="1" x14ac:dyDescent="0.25">
      <c r="A79" s="522" t="s">
        <v>225</v>
      </c>
      <c r="B79" s="523"/>
      <c r="C79" s="501"/>
      <c r="D79" s="511"/>
      <c r="E79" s="511"/>
      <c r="F79" s="501"/>
      <c r="G79" s="511"/>
      <c r="H79" s="511"/>
      <c r="I79" s="524"/>
      <c r="J79" s="525"/>
      <c r="K79" s="501"/>
      <c r="L79" s="525"/>
      <c r="M79" s="501"/>
      <c r="N79" s="525"/>
      <c r="O79" s="526"/>
    </row>
    <row r="80" spans="1:15" x14ac:dyDescent="0.25">
      <c r="A80" s="527" t="s">
        <v>226</v>
      </c>
      <c r="B80" s="500" t="s">
        <v>337</v>
      </c>
      <c r="C80" s="501"/>
      <c r="D80" s="528"/>
      <c r="E80" s="511"/>
      <c r="F80" s="501"/>
      <c r="G80" s="511"/>
      <c r="H80" s="511"/>
      <c r="I80" s="501"/>
      <c r="J80" s="525"/>
      <c r="K80" s="501"/>
      <c r="L80" s="525"/>
      <c r="M80" s="501"/>
      <c r="N80" s="525"/>
      <c r="O80" s="529"/>
    </row>
    <row r="81" spans="1:15" ht="7.5" customHeight="1" x14ac:dyDescent="0.25">
      <c r="A81" s="506"/>
      <c r="B81" s="500"/>
      <c r="C81" s="501"/>
      <c r="D81" s="511"/>
      <c r="E81" s="511"/>
      <c r="F81" s="501"/>
      <c r="G81" s="511"/>
      <c r="H81" s="511"/>
      <c r="I81" s="501"/>
      <c r="J81" s="530"/>
      <c r="K81" s="501"/>
      <c r="L81" s="531"/>
      <c r="M81" s="501"/>
      <c r="N81" s="532"/>
      <c r="O81" s="529"/>
    </row>
    <row r="82" spans="1:15" ht="15.6" x14ac:dyDescent="0.25">
      <c r="A82" s="507"/>
      <c r="B82" s="508" t="s">
        <v>227</v>
      </c>
      <c r="C82" s="509"/>
      <c r="D82" s="533"/>
      <c r="E82" s="533"/>
      <c r="F82" s="510"/>
      <c r="G82" s="533"/>
      <c r="H82" s="511"/>
      <c r="I82" s="512"/>
      <c r="J82" s="508" t="s">
        <v>228</v>
      </c>
      <c r="K82" s="513"/>
      <c r="L82" s="534"/>
      <c r="M82" s="513"/>
      <c r="N82" s="525"/>
      <c r="O82" s="535"/>
    </row>
    <row r="83" spans="1:15" ht="9.75" customHeight="1" x14ac:dyDescent="0.25">
      <c r="A83" s="536"/>
      <c r="B83" s="537"/>
      <c r="C83" s="538"/>
      <c r="D83" s="511"/>
      <c r="E83" s="511"/>
      <c r="F83" s="501"/>
      <c r="G83" s="511"/>
      <c r="H83" s="511"/>
      <c r="I83" s="512"/>
      <c r="J83" s="525"/>
      <c r="K83" s="512"/>
      <c r="L83" s="539"/>
      <c r="M83" s="512"/>
      <c r="N83" s="525"/>
      <c r="O83" s="535"/>
    </row>
    <row r="84" spans="1:15" ht="15.6" thickBot="1" x14ac:dyDescent="0.3">
      <c r="A84" s="540"/>
      <c r="B84" s="541" t="s">
        <v>223</v>
      </c>
      <c r="C84" s="542"/>
      <c r="D84" s="543"/>
      <c r="E84" s="543"/>
      <c r="F84" s="542"/>
      <c r="G84" s="543"/>
      <c r="H84" s="543"/>
      <c r="I84" s="542"/>
      <c r="J84" s="541" t="s">
        <v>223</v>
      </c>
      <c r="K84" s="542"/>
      <c r="L84" s="544"/>
      <c r="M84" s="542"/>
      <c r="N84" s="545"/>
      <c r="O84" s="546"/>
    </row>
    <row r="85" spans="1:15" ht="15.6" thickTop="1" x14ac:dyDescent="0.25">
      <c r="A85" s="688" t="s">
        <v>314</v>
      </c>
      <c r="B85" s="1922"/>
      <c r="C85" s="1923"/>
      <c r="D85" s="1923"/>
      <c r="E85" s="1923"/>
      <c r="F85" s="1923"/>
      <c r="G85" s="1923"/>
      <c r="H85" s="1923"/>
      <c r="I85" s="1923"/>
      <c r="J85" s="1923"/>
      <c r="K85" s="1923"/>
      <c r="L85" s="1923"/>
      <c r="M85" s="1923"/>
      <c r="N85" s="1923"/>
      <c r="O85" s="1924"/>
    </row>
    <row r="86" spans="1:15" ht="15.6" thickBot="1" x14ac:dyDescent="0.3">
      <c r="A86" s="540"/>
      <c r="B86" s="1925"/>
      <c r="C86" s="1925"/>
      <c r="D86" s="1925"/>
      <c r="E86" s="1925"/>
      <c r="F86" s="1925"/>
      <c r="G86" s="1925"/>
      <c r="H86" s="1925"/>
      <c r="I86" s="1925"/>
      <c r="J86" s="1925"/>
      <c r="K86" s="1925"/>
      <c r="L86" s="1925"/>
      <c r="M86" s="1925"/>
      <c r="N86" s="1925"/>
      <c r="O86" s="1926"/>
    </row>
    <row r="87" spans="1:15" ht="18.600000000000001" thickTop="1" thickBot="1" x14ac:dyDescent="0.3">
      <c r="A87" s="547" t="s">
        <v>242</v>
      </c>
      <c r="B87" s="548"/>
      <c r="C87" s="548"/>
      <c r="D87" s="549"/>
      <c r="E87" s="548"/>
      <c r="F87" s="549"/>
      <c r="G87" s="549"/>
      <c r="H87" s="548"/>
      <c r="I87" s="548"/>
      <c r="J87" s="550"/>
      <c r="K87" s="548"/>
      <c r="L87" s="548"/>
      <c r="M87" s="549"/>
      <c r="N87" s="551"/>
      <c r="O87" s="552"/>
    </row>
    <row r="88" spans="1:15" ht="16.2" thickTop="1" x14ac:dyDescent="0.25">
      <c r="A88" s="418" t="s">
        <v>225</v>
      </c>
      <c r="B88" s="419"/>
      <c r="C88" s="416"/>
      <c r="D88" s="354"/>
      <c r="E88" s="354"/>
      <c r="F88" s="416"/>
      <c r="G88" s="354"/>
      <c r="H88" s="354"/>
      <c r="I88" s="416"/>
      <c r="J88" s="354"/>
      <c r="K88" s="419"/>
      <c r="L88" s="354"/>
      <c r="M88" s="416"/>
      <c r="N88" s="420"/>
      <c r="O88" s="1219"/>
    </row>
    <row r="89" spans="1:15" ht="15.6" x14ac:dyDescent="0.25">
      <c r="A89" s="421" t="s">
        <v>229</v>
      </c>
      <c r="B89" s="422" t="s">
        <v>230</v>
      </c>
      <c r="C89" s="417"/>
      <c r="D89" s="57"/>
      <c r="E89" s="57"/>
      <c r="F89" s="417"/>
      <c r="G89" s="57"/>
      <c r="H89" s="57"/>
      <c r="I89" s="417"/>
      <c r="J89" s="57"/>
      <c r="K89" s="417"/>
      <c r="L89" s="57"/>
      <c r="M89" s="417"/>
      <c r="N89" s="423"/>
      <c r="O89" s="424"/>
    </row>
    <row r="90" spans="1:15" ht="39.6" x14ac:dyDescent="0.25">
      <c r="A90" s="425" t="s">
        <v>231</v>
      </c>
      <c r="B90" s="426" t="s">
        <v>232</v>
      </c>
      <c r="C90" s="1932" t="s">
        <v>233</v>
      </c>
      <c r="D90" s="1974"/>
      <c r="E90" s="1932" t="s">
        <v>593</v>
      </c>
      <c r="F90" s="1933"/>
      <c r="G90" s="427" t="s">
        <v>234</v>
      </c>
      <c r="H90" s="1003" t="s">
        <v>235</v>
      </c>
      <c r="I90" s="1003" t="s">
        <v>236</v>
      </c>
      <c r="J90" s="1126"/>
      <c r="K90" s="1232" t="s">
        <v>594</v>
      </c>
      <c r="L90" s="1126"/>
      <c r="M90" s="1000" t="s">
        <v>237</v>
      </c>
      <c r="N90" s="1911" t="s">
        <v>238</v>
      </c>
      <c r="O90" s="1912"/>
    </row>
    <row r="91" spans="1:15" x14ac:dyDescent="0.25">
      <c r="A91" s="428" t="s">
        <v>239</v>
      </c>
      <c r="B91" s="571">
        <f>'Previous Claims'!L42-C91-E91-G91-H91-I91-K91</f>
        <v>0</v>
      </c>
      <c r="C91" s="1960">
        <f>'Time Based'!I78</f>
        <v>0</v>
      </c>
      <c r="D91" s="1973"/>
      <c r="E91" s="1964">
        <f>'Subsistance &amp; Travelling'!O87</f>
        <v>0</v>
      </c>
      <c r="F91" s="1965"/>
      <c r="G91" s="572">
        <f>'Typing, Duplicating, &amp; Printing'!J67</f>
        <v>0</v>
      </c>
      <c r="H91" s="1001">
        <f>'Site staff &amp; Other'!I66</f>
        <v>0</v>
      </c>
      <c r="I91" s="1001">
        <f>'Previous Claims'!J42</f>
        <v>0</v>
      </c>
      <c r="J91" s="1126"/>
      <c r="K91" s="1220"/>
      <c r="L91" s="1126"/>
      <c r="M91" s="1002">
        <f>'Non Taxable'!J19</f>
        <v>0</v>
      </c>
      <c r="N91" s="1975">
        <f>SUM(B91:M91)</f>
        <v>0</v>
      </c>
      <c r="O91" s="1976"/>
    </row>
    <row r="92" spans="1:15" x14ac:dyDescent="0.25">
      <c r="A92" s="428" t="s">
        <v>240</v>
      </c>
      <c r="B92" s="571">
        <f>O56-B91</f>
        <v>0</v>
      </c>
      <c r="C92" s="1960">
        <f>O61-C91</f>
        <v>0</v>
      </c>
      <c r="D92" s="1961"/>
      <c r="E92" s="1964">
        <f>O64-E91</f>
        <v>0</v>
      </c>
      <c r="F92" s="1965"/>
      <c r="G92" s="573">
        <f>O65-G91</f>
        <v>0</v>
      </c>
      <c r="H92" s="1001">
        <f>O66+O67-H91</f>
        <v>0</v>
      </c>
      <c r="I92" s="1001">
        <f>O72</f>
        <v>0</v>
      </c>
      <c r="J92" s="1126"/>
      <c r="K92" s="1218">
        <f>-O62</f>
        <v>0</v>
      </c>
      <c r="L92" s="1126"/>
      <c r="M92" s="1001">
        <f>O73</f>
        <v>0</v>
      </c>
      <c r="N92" s="1975">
        <f>SUM(B92:M92)</f>
        <v>0</v>
      </c>
      <c r="O92" s="1976"/>
    </row>
    <row r="93" spans="1:15" x14ac:dyDescent="0.25">
      <c r="A93" s="428" t="s">
        <v>241</v>
      </c>
      <c r="B93" s="571">
        <f>B91+B92</f>
        <v>0</v>
      </c>
      <c r="C93" s="1960">
        <f>C91+C92</f>
        <v>0</v>
      </c>
      <c r="D93" s="1973"/>
      <c r="E93" s="1966">
        <f>E91+E92</f>
        <v>0</v>
      </c>
      <c r="F93" s="1967"/>
      <c r="G93" s="572">
        <f>G91+G92</f>
        <v>0</v>
      </c>
      <c r="H93" s="1001">
        <f>H91+H92</f>
        <v>0</v>
      </c>
      <c r="I93" s="1001">
        <f>I91+I92</f>
        <v>0</v>
      </c>
      <c r="J93" s="1126"/>
      <c r="K93" s="1218">
        <f>K92+K91</f>
        <v>0</v>
      </c>
      <c r="L93" s="1126"/>
      <c r="M93" s="1002">
        <f>M91+M92</f>
        <v>0</v>
      </c>
      <c r="N93" s="1975">
        <f>SUM(B93:M93)</f>
        <v>0</v>
      </c>
      <c r="O93" s="1976"/>
    </row>
    <row r="94" spans="1:15" ht="15.6" thickBot="1" x14ac:dyDescent="0.3">
      <c r="A94" s="429" t="s">
        <v>229</v>
      </c>
      <c r="B94" s="574"/>
      <c r="C94" s="1968"/>
      <c r="D94" s="1972"/>
      <c r="E94" s="1968"/>
      <c r="F94" s="1969"/>
      <c r="G94" s="1231"/>
      <c r="H94" s="575"/>
      <c r="I94" s="1958"/>
      <c r="J94" s="1959"/>
      <c r="K94" s="1011"/>
      <c r="L94" s="1229"/>
      <c r="M94" s="1230"/>
      <c r="N94" s="1970">
        <f>SUM(B94:M94)</f>
        <v>0</v>
      </c>
      <c r="O94" s="1971"/>
    </row>
    <row r="95" spans="1:15" ht="15.6" thickTop="1" x14ac:dyDescent="0.25"/>
  </sheetData>
  <sheetProtection algorithmName="SHA-512" hashValue="zegvLkhPGsGKG6vXfn4UtTw4qSRVmLzKZGivKCqV85z+HYDsfpz1kj9dHHa6DCVN03MrFOp4az7PcvSYY40pmg==" saltValue="UcspJXAZUUgt6DfbCC3Zjg==" spinCount="100000" sheet="1" objects="1" scenarios="1" formatCells="0" formatColumns="0" formatRows="0"/>
  <mergeCells count="67">
    <mergeCell ref="N94:O94"/>
    <mergeCell ref="C94:D94"/>
    <mergeCell ref="C93:D93"/>
    <mergeCell ref="C91:D91"/>
    <mergeCell ref="C90:D90"/>
    <mergeCell ref="N93:O93"/>
    <mergeCell ref="N92:O92"/>
    <mergeCell ref="N91:O91"/>
    <mergeCell ref="A44:C45"/>
    <mergeCell ref="I94:J94"/>
    <mergeCell ref="C92:D92"/>
    <mergeCell ref="A47:C48"/>
    <mergeCell ref="E92:F92"/>
    <mergeCell ref="E93:F93"/>
    <mergeCell ref="E94:F94"/>
    <mergeCell ref="E91:F91"/>
    <mergeCell ref="M19:N19"/>
    <mergeCell ref="L20:O20"/>
    <mergeCell ref="J22:N22"/>
    <mergeCell ref="A26:G27"/>
    <mergeCell ref="A22:G22"/>
    <mergeCell ref="I18:J18"/>
    <mergeCell ref="A19:B19"/>
    <mergeCell ref="C20:G20"/>
    <mergeCell ref="A29:D30"/>
    <mergeCell ref="A32:D33"/>
    <mergeCell ref="B13:L13"/>
    <mergeCell ref="N90:O90"/>
    <mergeCell ref="A35:D36"/>
    <mergeCell ref="I21:N21"/>
    <mergeCell ref="B21:H21"/>
    <mergeCell ref="B85:O86"/>
    <mergeCell ref="A17:B17"/>
    <mergeCell ref="I17:J17"/>
    <mergeCell ref="A18:B18"/>
    <mergeCell ref="E90:F90"/>
    <mergeCell ref="C18:G18"/>
    <mergeCell ref="I20:J20"/>
    <mergeCell ref="B14:M14"/>
    <mergeCell ref="B15:M15"/>
    <mergeCell ref="A20:B20"/>
    <mergeCell ref="A16:B16"/>
    <mergeCell ref="N5:O5"/>
    <mergeCell ref="I19:J19"/>
    <mergeCell ref="I9:M9"/>
    <mergeCell ref="I10:J10"/>
    <mergeCell ref="I11:J11"/>
    <mergeCell ref="N7:O7"/>
    <mergeCell ref="J7:L7"/>
    <mergeCell ref="H8:L8"/>
    <mergeCell ref="L11:O11"/>
    <mergeCell ref="C19:H19"/>
    <mergeCell ref="C16:G16"/>
    <mergeCell ref="C17:G17"/>
    <mergeCell ref="N8:O8"/>
    <mergeCell ref="M17:N17"/>
    <mergeCell ref="M18:N18"/>
    <mergeCell ref="N13:O13"/>
    <mergeCell ref="G2:J2"/>
    <mergeCell ref="B10:G10"/>
    <mergeCell ref="B9:G9"/>
    <mergeCell ref="B7:G7"/>
    <mergeCell ref="B11:C11"/>
    <mergeCell ref="E11:G11"/>
    <mergeCell ref="B6:M6"/>
    <mergeCell ref="L10:M10"/>
    <mergeCell ref="B8:D8"/>
  </mergeCells>
  <phoneticPr fontId="33" type="noConversion"/>
  <conditionalFormatting sqref="N94:O94 E94 B94:C94">
    <cfRule type="expression" dxfId="8" priority="1" stopIfTrue="1">
      <formula>B94&lt;B93</formula>
    </cfRule>
  </conditionalFormatting>
  <conditionalFormatting sqref="E87 K87:L87 H87:I87 B87:C87 N87">
    <cfRule type="expression" dxfId="7" priority="2" stopIfTrue="1">
      <formula>B87&lt;B94</formula>
    </cfRule>
  </conditionalFormatting>
  <conditionalFormatting sqref="H94:I94">
    <cfRule type="expression" dxfId="6" priority="4" stopIfTrue="1">
      <formula>H94&lt;G93</formula>
    </cfRule>
  </conditionalFormatting>
  <conditionalFormatting sqref="L94">
    <cfRule type="expression" dxfId="5" priority="6" stopIfTrue="1">
      <formula>L94&lt;M93</formula>
    </cfRule>
  </conditionalFormatting>
  <conditionalFormatting sqref="K94">
    <cfRule type="expression" dxfId="4" priority="7" stopIfTrue="1">
      <formula>K94&lt;I93</formula>
    </cfRule>
  </conditionalFormatting>
  <pageMargins left="0.74803149606299213" right="0.74803149606299213" top="0.78740157480314965" bottom="0.74803149606299213" header="0.51181102362204722" footer="0.51181102362204722"/>
  <pageSetup paperSize="9" scale="50" orientation="portrait" horizontalDpi="300" verticalDpi="300" r:id="rId1"/>
  <headerFooter alignWithMargins="0">
    <oddFooter>&amp;L&amp;F&amp;R&amp;D</oddFooter>
  </headerFooter>
  <rowBreaks count="1" manualBreakCount="1">
    <brk id="8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Q109"/>
  <sheetViews>
    <sheetView topLeftCell="A49" zoomScaleNormal="100" zoomScaleSheetLayoutView="75" workbookViewId="0">
      <selection activeCell="H61" sqref="H61"/>
    </sheetView>
  </sheetViews>
  <sheetFormatPr defaultRowHeight="15" x14ac:dyDescent="0.25"/>
  <cols>
    <col min="1" max="1" width="17.08203125" customWidth="1"/>
    <col min="2" max="2" width="16.25" customWidth="1"/>
    <col min="3" max="3" width="4.75" customWidth="1"/>
    <col min="4" max="4" width="3.58203125" customWidth="1"/>
    <col min="5" max="5" width="4.25" customWidth="1"/>
    <col min="6" max="6" width="4" customWidth="1"/>
    <col min="7" max="7" width="10.25" customWidth="1"/>
    <col min="8" max="8" width="9.08203125" customWidth="1"/>
    <col min="9" max="9" width="11.08203125" customWidth="1"/>
    <col min="10" max="10" width="4.4140625" customWidth="1"/>
    <col min="11" max="11" width="15.6640625" customWidth="1"/>
    <col min="12" max="12" width="5.4140625" customWidth="1"/>
    <col min="13" max="13" width="14.58203125" customWidth="1"/>
    <col min="14" max="14" width="5.6640625" customWidth="1"/>
    <col min="15" max="15" width="14.9140625" customWidth="1"/>
    <col min="16" max="16" width="17.75" bestFit="1" customWidth="1"/>
  </cols>
  <sheetData>
    <row r="1" spans="1:17" ht="32.25" customHeight="1" thickTop="1" x14ac:dyDescent="0.25">
      <c r="A1" s="432"/>
      <c r="B1" s="433"/>
      <c r="C1" s="433"/>
      <c r="D1" s="354"/>
      <c r="E1" s="313"/>
      <c r="F1" s="313"/>
      <c r="G1" s="313"/>
      <c r="H1" s="301" t="s">
        <v>134</v>
      </c>
      <c r="I1" s="354"/>
      <c r="J1" s="302"/>
      <c r="K1" s="302"/>
      <c r="L1" s="302"/>
      <c r="M1" s="302"/>
      <c r="N1" s="302"/>
      <c r="O1" s="303"/>
    </row>
    <row r="2" spans="1:17" ht="26.25" customHeight="1" x14ac:dyDescent="0.25">
      <c r="A2" s="691" t="s">
        <v>248</v>
      </c>
      <c r="B2" s="434"/>
      <c r="C2" s="434"/>
      <c r="D2" s="304"/>
      <c r="E2" s="42"/>
      <c r="F2" s="42"/>
      <c r="G2" s="352" t="s">
        <v>249</v>
      </c>
      <c r="H2" s="305"/>
      <c r="I2" s="42"/>
      <c r="J2" s="306"/>
      <c r="K2" s="482" t="str">
        <f>IF('Input Data'!$E$10="b",'Input Data'!E4,"USE OTHER INVOICE")</f>
        <v>USE OTHER INVOICE</v>
      </c>
      <c r="L2" s="306"/>
      <c r="M2" s="42"/>
      <c r="N2" s="42"/>
      <c r="O2" s="405" t="str">
        <f>'Input Data'!H5</f>
        <v xml:space="preserve">Version 1.3  2020-12 </v>
      </c>
    </row>
    <row r="3" spans="1:17" ht="15.75" customHeight="1" x14ac:dyDescent="0.25">
      <c r="A3" s="435"/>
      <c r="B3" s="434"/>
      <c r="C3" s="434"/>
      <c r="D3" s="304"/>
      <c r="E3" s="42"/>
      <c r="F3" s="42"/>
      <c r="G3" s="352"/>
      <c r="H3" s="305"/>
      <c r="I3" s="42"/>
      <c r="J3" s="306"/>
      <c r="K3" s="307"/>
      <c r="L3" s="306"/>
      <c r="M3" s="42"/>
      <c r="N3" s="42"/>
      <c r="O3" s="405"/>
    </row>
    <row r="4" spans="1:17" ht="21.75" customHeight="1" x14ac:dyDescent="0.25">
      <c r="A4" s="294"/>
      <c r="B4" s="42"/>
      <c r="C4" s="42"/>
      <c r="D4" s="42"/>
      <c r="E4" s="42"/>
      <c r="F4" s="99"/>
      <c r="G4" s="42"/>
      <c r="H4" s="99"/>
      <c r="I4" s="236" t="s">
        <v>590</v>
      </c>
      <c r="J4" s="1977">
        <f>'Input Data'!D29</f>
        <v>0</v>
      </c>
      <c r="K4" s="1978"/>
      <c r="L4" s="42"/>
      <c r="M4" s="1987" t="s">
        <v>108</v>
      </c>
      <c r="N4" s="1918"/>
      <c r="O4" s="317">
        <f>'Input Data'!D28</f>
        <v>44172</v>
      </c>
    </row>
    <row r="5" spans="1:17" ht="18.75" customHeight="1" thickBot="1" x14ac:dyDescent="0.3">
      <c r="A5" s="241" t="s">
        <v>202</v>
      </c>
      <c r="B5" s="315">
        <f>'Input Data'!D7</f>
        <v>0</v>
      </c>
      <c r="C5" s="59"/>
      <c r="D5" s="59"/>
      <c r="E5" s="15" t="s">
        <v>247</v>
      </c>
      <c r="F5" s="59"/>
      <c r="G5" s="59"/>
      <c r="H5" s="380">
        <f>'Input Data'!$D$8</f>
        <v>0</v>
      </c>
      <c r="I5" s="59"/>
      <c r="J5" s="59"/>
      <c r="K5" s="59"/>
      <c r="L5" s="59"/>
      <c r="M5" s="386" t="s">
        <v>175</v>
      </c>
      <c r="N5" s="1888">
        <f>'Input Data'!D9</f>
        <v>0</v>
      </c>
      <c r="O5" s="1889"/>
    </row>
    <row r="6" spans="1:17" ht="21.75" customHeight="1" thickTop="1" thickBot="1" x14ac:dyDescent="0.3">
      <c r="A6" s="314" t="s">
        <v>15</v>
      </c>
      <c r="B6" s="2018">
        <f>'Input Data'!$D$12</f>
        <v>0</v>
      </c>
      <c r="C6" s="2019"/>
      <c r="D6" s="2019"/>
      <c r="E6" s="2019"/>
      <c r="F6" s="2019"/>
      <c r="G6" s="2019"/>
      <c r="H6" s="2019"/>
      <c r="I6" s="2019"/>
      <c r="J6" s="2019"/>
      <c r="K6" s="2019"/>
      <c r="L6" s="2019"/>
      <c r="M6" s="2019"/>
      <c r="N6" s="7"/>
      <c r="O6" s="248"/>
    </row>
    <row r="7" spans="1:17" ht="20.25" customHeight="1" thickTop="1" x14ac:dyDescent="0.25">
      <c r="A7" s="256" t="s">
        <v>160</v>
      </c>
      <c r="B7" s="1876" t="str">
        <f>'Input Data'!G18</f>
        <v>NATIONAL DEPARTMENT OF PUBLIC WORKS</v>
      </c>
      <c r="C7" s="1876"/>
      <c r="D7" s="1876"/>
      <c r="E7" s="1876"/>
      <c r="F7" s="1876"/>
      <c r="G7" s="1876"/>
      <c r="H7" s="1980" t="s">
        <v>174</v>
      </c>
      <c r="I7" s="1981"/>
      <c r="J7" s="2021">
        <f>'Input Data'!D6</f>
        <v>0</v>
      </c>
      <c r="K7" s="2022"/>
      <c r="L7" s="12" t="s">
        <v>170</v>
      </c>
      <c r="M7" s="9"/>
      <c r="N7" s="2037" t="s">
        <v>290</v>
      </c>
      <c r="O7" s="2038"/>
    </row>
    <row r="8" spans="1:17" ht="15" customHeight="1" x14ac:dyDescent="0.25">
      <c r="A8" s="256" t="s">
        <v>168</v>
      </c>
      <c r="B8" s="1904">
        <f>'Input Data'!G21</f>
        <v>0</v>
      </c>
      <c r="C8" s="1904"/>
      <c r="D8" s="1904"/>
      <c r="E8" s="1905"/>
      <c r="F8" s="1905"/>
      <c r="G8" s="1905"/>
      <c r="H8" s="1982" t="s">
        <v>162</v>
      </c>
      <c r="I8" s="1931"/>
      <c r="J8" s="1904">
        <f>'Input Data'!G22</f>
        <v>0</v>
      </c>
      <c r="K8" s="1785"/>
      <c r="L8" s="1901"/>
      <c r="M8" s="1901"/>
      <c r="N8" s="12" t="s">
        <v>272</v>
      </c>
      <c r="O8" s="692">
        <f>'Input Data'!G23</f>
        <v>0</v>
      </c>
      <c r="P8" s="237"/>
      <c r="Q8" s="237"/>
    </row>
    <row r="9" spans="1:17" ht="15" customHeight="1" x14ac:dyDescent="0.25">
      <c r="A9" s="256" t="s">
        <v>269</v>
      </c>
      <c r="B9" s="2020">
        <f>'Input Data'!G26</f>
        <v>0</v>
      </c>
      <c r="C9" s="2015"/>
      <c r="D9" s="2015"/>
      <c r="E9" s="2015"/>
      <c r="F9" s="2015"/>
      <c r="G9" s="2015"/>
      <c r="H9" s="44" t="s">
        <v>178</v>
      </c>
      <c r="I9" s="2031">
        <f>'Input Data'!G27</f>
        <v>0</v>
      </c>
      <c r="J9" s="2032"/>
      <c r="K9" s="2032"/>
      <c r="L9" s="2032"/>
      <c r="M9" s="2033"/>
      <c r="N9" s="381" t="s">
        <v>272</v>
      </c>
      <c r="O9" s="316">
        <f>'Input Data'!G28</f>
        <v>0</v>
      </c>
      <c r="P9" s="237"/>
      <c r="Q9" s="237"/>
    </row>
    <row r="10" spans="1:17" ht="15" customHeight="1" x14ac:dyDescent="0.25">
      <c r="A10" s="256" t="s">
        <v>179</v>
      </c>
      <c r="B10" s="1904">
        <f>'Input Data'!G25</f>
        <v>0</v>
      </c>
      <c r="C10" s="1904"/>
      <c r="D10" s="1904"/>
      <c r="E10" s="1904"/>
      <c r="F10" s="1904"/>
      <c r="G10" s="1904"/>
      <c r="H10" s="12" t="s">
        <v>172</v>
      </c>
      <c r="I10" s="2008">
        <f>'Input Data'!G29</f>
        <v>0</v>
      </c>
      <c r="J10" s="2009"/>
      <c r="K10" s="242" t="s">
        <v>295</v>
      </c>
      <c r="L10" s="1985">
        <f>'Input Data'!G30</f>
        <v>0</v>
      </c>
      <c r="M10" s="1986"/>
      <c r="N10" s="382" t="s">
        <v>294</v>
      </c>
      <c r="O10" s="317">
        <f>'Input Data'!G31</f>
        <v>0</v>
      </c>
    </row>
    <row r="11" spans="1:17" ht="15" customHeight="1" thickBot="1" x14ac:dyDescent="0.3">
      <c r="A11" s="321" t="s">
        <v>169</v>
      </c>
      <c r="B11" s="1877">
        <f>'Input Data'!G6</f>
        <v>0</v>
      </c>
      <c r="C11" s="1984"/>
      <c r="D11" s="234" t="s">
        <v>122</v>
      </c>
      <c r="E11" s="1888">
        <f>'Input Data'!G7</f>
        <v>0</v>
      </c>
      <c r="F11" s="2017"/>
      <c r="G11" s="2017"/>
      <c r="H11" s="15" t="s">
        <v>133</v>
      </c>
      <c r="I11" s="2010">
        <f>'Input Data'!G8</f>
        <v>0</v>
      </c>
      <c r="J11" s="2023"/>
      <c r="K11" s="264" t="s">
        <v>176</v>
      </c>
      <c r="L11" s="2010">
        <f>'Input Data'!G10</f>
        <v>0</v>
      </c>
      <c r="M11" s="2011"/>
      <c r="N11" s="2011"/>
      <c r="O11" s="1889"/>
    </row>
    <row r="12" spans="1:17" ht="22.5" customHeight="1" thickTop="1" thickBot="1" x14ac:dyDescent="0.3">
      <c r="A12" s="690" t="s">
        <v>251</v>
      </c>
      <c r="B12" s="310"/>
      <c r="C12" s="353"/>
      <c r="D12" s="308"/>
      <c r="E12" s="311"/>
      <c r="F12" s="354"/>
      <c r="G12" s="354"/>
      <c r="H12" s="309"/>
      <c r="I12" s="297"/>
      <c r="J12" s="354"/>
      <c r="K12" s="247"/>
      <c r="L12" s="297"/>
      <c r="M12" s="312"/>
      <c r="N12" s="312"/>
      <c r="O12" s="318"/>
    </row>
    <row r="13" spans="1:17" ht="15" customHeight="1" x14ac:dyDescent="0.25">
      <c r="A13" s="256" t="s">
        <v>292</v>
      </c>
      <c r="B13" s="2039">
        <f>'Input Data'!$D$13</f>
        <v>0</v>
      </c>
      <c r="C13" s="1905"/>
      <c r="D13" s="1905"/>
      <c r="E13" s="1905"/>
      <c r="F13" s="1905"/>
      <c r="G13" s="1905"/>
      <c r="H13" s="1905"/>
      <c r="I13" s="1905"/>
      <c r="J13" s="1905"/>
      <c r="K13" s="1905"/>
      <c r="L13" s="1905"/>
      <c r="M13" s="236" t="s">
        <v>171</v>
      </c>
      <c r="N13" s="2012">
        <f>'Input Data'!D31</f>
        <v>0</v>
      </c>
      <c r="O13" s="2013"/>
    </row>
    <row r="14" spans="1:17" ht="15" customHeight="1" x14ac:dyDescent="0.25">
      <c r="A14" s="256" t="s">
        <v>124</v>
      </c>
      <c r="B14" s="2014">
        <f>'Input Data'!$D$14</f>
        <v>0</v>
      </c>
      <c r="C14" s="2015"/>
      <c r="D14" s="2015"/>
      <c r="E14" s="2015"/>
      <c r="F14" s="2015"/>
      <c r="G14" s="2015"/>
      <c r="H14" s="2015"/>
      <c r="I14" s="2015"/>
      <c r="J14" s="2016"/>
      <c r="K14" s="2016"/>
      <c r="L14" s="2016"/>
      <c r="M14" s="2016"/>
      <c r="N14" s="382" t="s">
        <v>272</v>
      </c>
      <c r="O14" s="320">
        <f>'Input Data'!H14</f>
        <v>0</v>
      </c>
    </row>
    <row r="15" spans="1:17" ht="15" customHeight="1" x14ac:dyDescent="0.25">
      <c r="A15" s="256" t="s">
        <v>269</v>
      </c>
      <c r="B15" s="1894">
        <f>'Input Data'!D15</f>
        <v>0</v>
      </c>
      <c r="C15" s="1983"/>
      <c r="D15" s="1983"/>
      <c r="E15" s="1983"/>
      <c r="F15" s="1983"/>
      <c r="G15" s="1983"/>
      <c r="H15" s="1905"/>
      <c r="I15" s="1905"/>
      <c r="J15" s="1905"/>
      <c r="K15" s="1905"/>
      <c r="L15" s="1905"/>
      <c r="M15" s="1905"/>
      <c r="N15" s="381" t="s">
        <v>272</v>
      </c>
      <c r="O15" s="319">
        <f>'Input Data'!H15</f>
        <v>0</v>
      </c>
    </row>
    <row r="16" spans="1:17" ht="15" customHeight="1" x14ac:dyDescent="0.25">
      <c r="A16" s="1930" t="s">
        <v>89</v>
      </c>
      <c r="B16" s="1931"/>
      <c r="C16" s="2035">
        <f>IF('Input Data'!E18="None","NOT REGISTERED FOR VAT",'Input Data'!E18)</f>
        <v>0</v>
      </c>
      <c r="D16" s="2009"/>
      <c r="E16" s="2009"/>
      <c r="F16" s="2009"/>
      <c r="G16" s="2009"/>
      <c r="H16" s="42"/>
      <c r="I16" s="42"/>
      <c r="J16" s="42"/>
      <c r="K16" s="42"/>
      <c r="L16" s="42"/>
      <c r="M16" s="42"/>
      <c r="N16" s="265"/>
      <c r="O16" s="244"/>
    </row>
    <row r="17" spans="1:15" ht="15" customHeight="1" x14ac:dyDescent="0.25">
      <c r="A17" s="1979" t="s">
        <v>119</v>
      </c>
      <c r="B17" s="1931"/>
      <c r="C17" s="1894">
        <f>'Input Data'!D19</f>
        <v>0</v>
      </c>
      <c r="D17" s="1905"/>
      <c r="E17" s="1905"/>
      <c r="F17" s="1905"/>
      <c r="G17" s="1905"/>
      <c r="H17" s="12"/>
      <c r="I17" s="1890"/>
      <c r="J17" s="1891"/>
      <c r="K17" s="42"/>
      <c r="L17" s="236" t="s">
        <v>172</v>
      </c>
      <c r="M17" s="1872">
        <f>'Input Data'!D16</f>
        <v>0</v>
      </c>
      <c r="N17" s="1905"/>
      <c r="O17" s="13"/>
    </row>
    <row r="18" spans="1:15" ht="15" customHeight="1" x14ac:dyDescent="0.25">
      <c r="A18" s="1930" t="s">
        <v>24</v>
      </c>
      <c r="B18" s="1931"/>
      <c r="C18" s="2004">
        <f>'Input Data'!$D$20</f>
        <v>0</v>
      </c>
      <c r="D18" s="2005"/>
      <c r="E18" s="2005"/>
      <c r="F18" s="2005"/>
      <c r="G18" s="2005"/>
      <c r="H18" s="12"/>
      <c r="I18" s="1890"/>
      <c r="J18" s="1891"/>
      <c r="K18" s="42"/>
      <c r="L18" s="236" t="s">
        <v>177</v>
      </c>
      <c r="M18" s="1894">
        <f>'Input Data'!F16</f>
        <v>0</v>
      </c>
      <c r="N18" s="1905"/>
      <c r="O18" s="244"/>
    </row>
    <row r="19" spans="1:15" ht="15" customHeight="1" x14ac:dyDescent="0.25">
      <c r="A19" s="1930" t="s">
        <v>252</v>
      </c>
      <c r="B19" s="1871"/>
      <c r="C19" s="1904">
        <f>'Input Data'!D30</f>
        <v>0</v>
      </c>
      <c r="D19" s="1785"/>
      <c r="E19" s="1785"/>
      <c r="F19" s="1785"/>
      <c r="G19" s="1785"/>
      <c r="H19" s="12"/>
      <c r="I19" s="1890"/>
      <c r="J19" s="1891"/>
      <c r="K19" s="42"/>
      <c r="L19" s="236" t="s">
        <v>173</v>
      </c>
      <c r="M19" s="2006">
        <f>'Input Data'!H16</f>
        <v>0</v>
      </c>
      <c r="N19" s="2007"/>
      <c r="O19" s="13"/>
    </row>
    <row r="20" spans="1:15" ht="15" customHeight="1" thickBot="1" x14ac:dyDescent="0.3">
      <c r="A20" s="1938" t="s">
        <v>25</v>
      </c>
      <c r="B20" s="1939"/>
      <c r="C20" s="1941" t="str">
        <f>'Input Data'!$D$26</f>
        <v>USE TIME BASED FEES</v>
      </c>
      <c r="D20" s="1942"/>
      <c r="E20" s="1942"/>
      <c r="F20" s="1942"/>
      <c r="G20" s="1942"/>
      <c r="H20" s="15"/>
      <c r="I20" s="1936"/>
      <c r="J20" s="1937"/>
      <c r="K20" s="264" t="s">
        <v>176</v>
      </c>
      <c r="L20" s="1950">
        <f>'Input Data'!D17</f>
        <v>0</v>
      </c>
      <c r="M20" s="2023"/>
      <c r="N20" s="2023"/>
      <c r="O20" s="2034"/>
    </row>
    <row r="21" spans="1:15" ht="15" customHeight="1" thickTop="1" x14ac:dyDescent="0.25">
      <c r="A21" s="239" t="str">
        <f>IF('Input Data'!$F$32&gt;3,"STAGE:","STAGE COMPLETED:")</f>
        <v>STAGE:</v>
      </c>
      <c r="B21" s="2030" t="str">
        <f>'Input Data'!D32</f>
        <v>CONTRACT ADMINISTRATION &amp; INSPECTION</v>
      </c>
      <c r="C21" s="2030"/>
      <c r="D21" s="2030"/>
      <c r="E21" s="2030"/>
      <c r="F21" s="2030"/>
      <c r="G21" s="2030"/>
      <c r="H21" s="2030"/>
      <c r="I21" s="243"/>
      <c r="J21" s="1917" t="str">
        <f>IF('Input Data'!$E$42=1,"ESTIMATED TOTAL VALUE OF ENGINEERING WORK","TOTAL VALUE OF ENGINEERING WORK")</f>
        <v>ESTIMATED TOTAL VALUE OF ENGINEERING WORK</v>
      </c>
      <c r="K21" s="2003"/>
      <c r="L21" s="2003"/>
      <c r="M21" s="2003"/>
      <c r="N21" s="2003"/>
      <c r="O21" s="586">
        <f>IF('Input Data'!E10="B",IF('Input Data'!$E$42=1,80%*'Input Data'!$H$47,'Input Data'!$H$47),0)</f>
        <v>0</v>
      </c>
    </row>
    <row r="22" spans="1:15" ht="15.6" thickBot="1" x14ac:dyDescent="0.3">
      <c r="A22" s="2000"/>
      <c r="B22" s="2001"/>
      <c r="C22" s="2001"/>
      <c r="D22" s="2001"/>
      <c r="E22" s="2001"/>
      <c r="F22" s="2001"/>
      <c r="G22" s="2001"/>
      <c r="H22" s="7"/>
      <c r="I22" s="240"/>
      <c r="J22" s="2002" t="str">
        <f>IF('Input Data'!$E$42=1,"ESTIMATED TOTAL VALUE OF PROJECT","TOTAL VALUE OF PROJECT")</f>
        <v>ESTIMATED TOTAL VALUE OF PROJECT</v>
      </c>
      <c r="K22" s="1953"/>
      <c r="L22" s="1953"/>
      <c r="M22" s="1953"/>
      <c r="N22" s="1953"/>
      <c r="O22" s="587">
        <f>IF('Input Data'!E10="B",IF('Input Data'!$E$42=1,80%*'Input Data'!$H$49,'Input Data'!$H$49),0)</f>
        <v>0</v>
      </c>
    </row>
    <row r="23" spans="1:15" ht="15.6" thickTop="1" x14ac:dyDescent="0.25">
      <c r="A23" s="101" t="s">
        <v>21</v>
      </c>
      <c r="B23" s="22"/>
      <c r="C23" s="31"/>
      <c r="D23" s="30"/>
      <c r="E23" s="30"/>
      <c r="F23" s="30"/>
      <c r="G23" s="45"/>
      <c r="H23" s="257" t="s">
        <v>198</v>
      </c>
      <c r="I23" s="47">
        <f>IF('Input Data'!E10="B",VLOOKUP($O$21,SCALE_MB,3),0)</f>
        <v>0</v>
      </c>
      <c r="J23" s="48" t="s">
        <v>94</v>
      </c>
      <c r="K23" s="49">
        <f>IF('Input Data'!E10="B",VLOOKUP($O$21,SCALE_MB,4),0)</f>
        <v>0</v>
      </c>
      <c r="L23" s="50" t="s">
        <v>197</v>
      </c>
      <c r="M23" s="51">
        <f>IF('Input Data'!E10="B",O21-(VLOOKUP($O$21,SCALE_MB,1)),0)</f>
        <v>0</v>
      </c>
      <c r="N23" s="50" t="s">
        <v>92</v>
      </c>
      <c r="O23" s="619">
        <f>I23+K23*M23</f>
        <v>0</v>
      </c>
    </row>
    <row r="24" spans="1:15" ht="6.75" customHeight="1" x14ac:dyDescent="0.25">
      <c r="A24" s="29"/>
      <c r="B24" s="22"/>
      <c r="C24" s="31"/>
      <c r="D24" s="32"/>
      <c r="E24" s="32"/>
      <c r="F24" s="32"/>
      <c r="G24" s="31"/>
      <c r="H24" s="31"/>
      <c r="I24" s="52"/>
      <c r="J24" s="47"/>
      <c r="K24" s="49"/>
      <c r="L24" s="47"/>
      <c r="M24" s="47"/>
      <c r="N24" s="47"/>
      <c r="O24" s="619"/>
    </row>
    <row r="25" spans="1:15" x14ac:dyDescent="0.25">
      <c r="A25" s="274" t="str">
        <f>IF('Input Data'!F36="N","NO BILL OF QUANTITIES", "TOTAL BASIC FEE")</f>
        <v>NO BILL OF QUANTITIES</v>
      </c>
      <c r="B25" s="22"/>
      <c r="C25" s="22"/>
      <c r="D25" s="22"/>
      <c r="E25" s="22"/>
      <c r="F25" s="22"/>
      <c r="G25" s="31"/>
      <c r="H25" s="46"/>
      <c r="I25" s="47"/>
      <c r="J25" s="47"/>
      <c r="K25" s="49">
        <f>IF('Input Data'!F36="Y",1,0.75)</f>
        <v>0.75</v>
      </c>
      <c r="L25" s="53" t="s">
        <v>1</v>
      </c>
      <c r="M25" s="47">
        <f>O23</f>
        <v>0</v>
      </c>
      <c r="N25" s="50" t="s">
        <v>92</v>
      </c>
      <c r="O25" s="619">
        <f>K25*M25</f>
        <v>0</v>
      </c>
    </row>
    <row r="26" spans="1:15" ht="6.75" customHeight="1" thickBot="1" x14ac:dyDescent="0.3">
      <c r="A26" s="29"/>
      <c r="B26" s="22"/>
      <c r="C26" s="276"/>
      <c r="D26" s="30"/>
      <c r="E26" s="30"/>
      <c r="F26" s="30"/>
      <c r="G26" s="31"/>
      <c r="H26" s="46"/>
      <c r="I26" s="47"/>
      <c r="J26" s="47"/>
      <c r="K26" s="47"/>
      <c r="L26" s="47"/>
      <c r="M26" s="47"/>
      <c r="N26" s="47"/>
      <c r="O26" s="588"/>
    </row>
    <row r="27" spans="1:15" ht="18" thickTop="1" x14ac:dyDescent="0.25">
      <c r="A27" s="89" t="s">
        <v>621</v>
      </c>
      <c r="B27" s="54"/>
      <c r="C27" s="54"/>
      <c r="D27" s="54"/>
      <c r="E27" s="54"/>
      <c r="F27" s="354"/>
      <c r="G27" s="354"/>
      <c r="H27" s="354"/>
      <c r="I27" s="354"/>
      <c r="J27" s="354"/>
      <c r="K27" s="354"/>
      <c r="L27" s="354"/>
      <c r="M27" s="354"/>
      <c r="N27" s="354"/>
      <c r="O27" s="620"/>
    </row>
    <row r="28" spans="1:15" ht="8.25" customHeight="1" x14ac:dyDescent="0.25">
      <c r="A28" s="90"/>
      <c r="B28" s="31"/>
      <c r="C28" s="31"/>
      <c r="D28" s="31"/>
      <c r="E28" s="31"/>
      <c r="F28" s="42"/>
      <c r="G28" s="42"/>
      <c r="H28" s="42"/>
      <c r="I28" s="42"/>
      <c r="J28" s="42"/>
      <c r="K28" s="42"/>
      <c r="L28" s="42"/>
      <c r="M28" s="42"/>
      <c r="N28" s="42"/>
      <c r="O28" s="621"/>
    </row>
    <row r="29" spans="1:15" x14ac:dyDescent="0.25">
      <c r="A29" s="29" t="s">
        <v>138</v>
      </c>
      <c r="B29" s="42"/>
      <c r="C29" s="42"/>
      <c r="D29" s="42"/>
      <c r="E29" s="42"/>
      <c r="F29" s="42"/>
      <c r="G29" s="42"/>
      <c r="H29" s="42"/>
      <c r="I29" s="42"/>
      <c r="J29" s="42"/>
      <c r="K29" s="42"/>
      <c r="L29" s="42"/>
      <c r="M29" s="42"/>
      <c r="N29" s="42"/>
      <c r="O29" s="622">
        <f>O87</f>
        <v>0</v>
      </c>
    </row>
    <row r="30" spans="1:15" ht="8.25" customHeight="1" x14ac:dyDescent="0.25">
      <c r="A30" s="294"/>
      <c r="B30" s="42"/>
      <c r="C30" s="42"/>
      <c r="D30" s="42"/>
      <c r="E30" s="42"/>
      <c r="F30" s="42"/>
      <c r="G30" s="42"/>
      <c r="H30" s="42"/>
      <c r="I30" s="42"/>
      <c r="J30" s="42"/>
      <c r="K30" s="42"/>
      <c r="L30" s="42"/>
      <c r="M30" s="42"/>
      <c r="N30" s="42"/>
      <c r="O30" s="622"/>
    </row>
    <row r="31" spans="1:15" x14ac:dyDescent="0.25">
      <c r="A31" s="299" t="s">
        <v>126</v>
      </c>
      <c r="B31" s="19"/>
      <c r="C31" s="42"/>
      <c r="D31" s="42"/>
      <c r="E31" s="23"/>
      <c r="F31" s="42"/>
      <c r="G31" s="42"/>
      <c r="H31" s="42"/>
      <c r="I31" s="42"/>
      <c r="J31" s="42"/>
      <c r="K31" s="42"/>
      <c r="L31" s="42"/>
      <c r="M31" s="42"/>
      <c r="N31" s="42"/>
      <c r="O31" s="622">
        <f>O90</f>
        <v>0</v>
      </c>
    </row>
    <row r="32" spans="1:15" ht="7.5" customHeight="1" x14ac:dyDescent="0.25">
      <c r="A32" s="294"/>
      <c r="B32" s="42"/>
      <c r="C32" s="42"/>
      <c r="D32" s="42"/>
      <c r="E32" s="22"/>
      <c r="F32" s="42"/>
      <c r="G32" s="42"/>
      <c r="H32" s="42"/>
      <c r="I32" s="42"/>
      <c r="J32" s="42"/>
      <c r="K32" s="42"/>
      <c r="L32" s="42"/>
      <c r="M32" s="42"/>
      <c r="N32" s="42"/>
      <c r="O32" s="622"/>
    </row>
    <row r="33" spans="1:16" x14ac:dyDescent="0.25">
      <c r="A33" s="300" t="s">
        <v>103</v>
      </c>
      <c r="B33" s="19"/>
      <c r="C33" s="19"/>
      <c r="D33" s="19"/>
      <c r="E33" s="22"/>
      <c r="F33" s="42"/>
      <c r="G33" s="42"/>
      <c r="H33" s="42"/>
      <c r="I33" s="42"/>
      <c r="J33" s="42"/>
      <c r="K33" s="42"/>
      <c r="L33" s="42"/>
      <c r="M33" s="42"/>
      <c r="N33" s="42"/>
      <c r="O33" s="622">
        <f>O93</f>
        <v>0</v>
      </c>
    </row>
    <row r="34" spans="1:16" ht="7.5" customHeight="1" x14ac:dyDescent="0.25">
      <c r="A34" s="295"/>
      <c r="B34" s="296"/>
      <c r="C34" s="296"/>
      <c r="D34" s="296"/>
      <c r="E34" s="22"/>
      <c r="F34" s="42"/>
      <c r="G34" s="42"/>
      <c r="H34" s="42"/>
      <c r="I34" s="42"/>
      <c r="J34" s="42"/>
      <c r="K34" s="42"/>
      <c r="L34" s="42"/>
      <c r="M34" s="42"/>
      <c r="N34" s="42"/>
      <c r="O34" s="622"/>
    </row>
    <row r="35" spans="1:16" x14ac:dyDescent="0.25">
      <c r="A35" s="300" t="s">
        <v>130</v>
      </c>
      <c r="B35" s="19"/>
      <c r="C35" s="19"/>
      <c r="D35" s="19"/>
      <c r="E35" s="25">
        <f>IF('Input Data'!$H$46&gt;0,0.25,0)</f>
        <v>0</v>
      </c>
      <c r="F35" s="42"/>
      <c r="G35" s="42"/>
      <c r="H35" s="42"/>
      <c r="I35" s="42"/>
      <c r="J35" s="42"/>
      <c r="K35" s="42"/>
      <c r="L35" s="42"/>
      <c r="M35" s="42"/>
      <c r="N35" s="42"/>
      <c r="O35" s="622">
        <f>O96</f>
        <v>0</v>
      </c>
    </row>
    <row r="36" spans="1:16" ht="7.5" customHeight="1" x14ac:dyDescent="0.25">
      <c r="A36" s="26"/>
      <c r="B36" s="27"/>
      <c r="C36" s="27"/>
      <c r="D36" s="27"/>
      <c r="E36" s="27"/>
      <c r="F36" s="57"/>
      <c r="G36" s="57"/>
      <c r="H36" s="57"/>
      <c r="I36" s="57"/>
      <c r="J36" s="57"/>
      <c r="K36" s="57"/>
      <c r="L36" s="57"/>
      <c r="M36" s="57"/>
      <c r="N36" s="57"/>
      <c r="O36" s="623"/>
    </row>
    <row r="37" spans="1:16" ht="15.6" thickBot="1" x14ac:dyDescent="0.3">
      <c r="A37" s="38"/>
      <c r="B37" s="28"/>
      <c r="C37" s="39"/>
      <c r="D37" s="39"/>
      <c r="E37" s="39"/>
      <c r="F37" s="59"/>
      <c r="G37" s="59"/>
      <c r="H37" s="59"/>
      <c r="I37" s="59"/>
      <c r="J37" s="59"/>
      <c r="K37" s="59"/>
      <c r="L37" s="59"/>
      <c r="M37" s="271" t="s">
        <v>217</v>
      </c>
      <c r="N37" s="59"/>
      <c r="O37" s="624">
        <f>O99</f>
        <v>0</v>
      </c>
    </row>
    <row r="38" spans="1:16" ht="18" thickTop="1" x14ac:dyDescent="0.25">
      <c r="A38" s="90" t="s">
        <v>624</v>
      </c>
      <c r="B38" s="21"/>
      <c r="C38" s="21"/>
      <c r="D38" s="21"/>
      <c r="E38" s="21"/>
      <c r="F38" s="42"/>
      <c r="G38" s="42"/>
      <c r="H38" s="42"/>
      <c r="I38" s="42"/>
      <c r="J38" s="42"/>
      <c r="K38" s="42"/>
      <c r="L38" s="42"/>
      <c r="M38" s="42"/>
      <c r="N38" s="42"/>
      <c r="O38" s="622"/>
    </row>
    <row r="39" spans="1:16" x14ac:dyDescent="0.25">
      <c r="A39" s="29" t="s">
        <v>127</v>
      </c>
      <c r="B39" s="42"/>
      <c r="C39" s="42"/>
      <c r="D39" s="30"/>
      <c r="E39" s="30"/>
      <c r="F39" s="42"/>
      <c r="G39" s="42"/>
      <c r="H39" s="42"/>
      <c r="I39" s="42"/>
      <c r="J39" s="42"/>
      <c r="K39" s="42"/>
      <c r="L39" s="42"/>
      <c r="M39" s="42"/>
      <c r="N39" s="42"/>
      <c r="O39" s="622">
        <f>O101</f>
        <v>0</v>
      </c>
    </row>
    <row r="40" spans="1:16" ht="7.5" customHeight="1" x14ac:dyDescent="0.25">
      <c r="A40" s="29"/>
      <c r="B40" s="22"/>
      <c r="C40" s="31"/>
      <c r="D40" s="32"/>
      <c r="E40" s="32"/>
      <c r="F40" s="42"/>
      <c r="G40" s="42"/>
      <c r="H40" s="42"/>
      <c r="I40" s="42"/>
      <c r="J40" s="42"/>
      <c r="K40" s="42"/>
      <c r="L40" s="42"/>
      <c r="M40" s="42"/>
      <c r="N40" s="42"/>
      <c r="O40" s="622"/>
    </row>
    <row r="41" spans="1:16" x14ac:dyDescent="0.25">
      <c r="A41" s="299" t="s">
        <v>126</v>
      </c>
      <c r="B41" s="19"/>
      <c r="C41" s="42"/>
      <c r="D41" s="42"/>
      <c r="E41" s="30"/>
      <c r="F41" s="42"/>
      <c r="G41" s="42"/>
      <c r="H41" s="42"/>
      <c r="I41" s="42"/>
      <c r="J41" s="42"/>
      <c r="K41" s="42"/>
      <c r="L41" s="42"/>
      <c r="M41" s="42"/>
      <c r="N41" s="42"/>
      <c r="O41" s="622">
        <f>O104</f>
        <v>0</v>
      </c>
    </row>
    <row r="42" spans="1:16" ht="8.25" customHeight="1" x14ac:dyDescent="0.25">
      <c r="A42" s="324"/>
      <c r="B42" s="57"/>
      <c r="C42" s="57"/>
      <c r="D42" s="57"/>
      <c r="E42" s="272"/>
      <c r="F42" s="57"/>
      <c r="G42" s="57"/>
      <c r="H42" s="57"/>
      <c r="I42" s="57"/>
      <c r="J42" s="57"/>
      <c r="K42" s="57"/>
      <c r="L42" s="57"/>
      <c r="M42" s="57"/>
      <c r="N42" s="57"/>
      <c r="O42" s="623"/>
    </row>
    <row r="43" spans="1:16" ht="15.6" thickBot="1" x14ac:dyDescent="0.3">
      <c r="A43" s="288" t="s">
        <v>622</v>
      </c>
      <c r="B43" s="284"/>
      <c r="C43" s="284"/>
      <c r="D43" s="284"/>
      <c r="E43" s="284"/>
      <c r="F43" s="436"/>
      <c r="G43" s="436"/>
      <c r="H43" s="436"/>
      <c r="I43" s="436"/>
      <c r="J43" s="436"/>
      <c r="K43" s="436"/>
      <c r="L43" s="436"/>
      <c r="M43" s="326" t="s">
        <v>218</v>
      </c>
      <c r="N43" s="436"/>
      <c r="O43" s="625">
        <f>O106</f>
        <v>0</v>
      </c>
    </row>
    <row r="44" spans="1:16" ht="16.8" thickTop="1" thickBot="1" x14ac:dyDescent="0.3">
      <c r="A44" s="323"/>
      <c r="B44" s="227"/>
      <c r="C44" s="227"/>
      <c r="D44" s="227"/>
      <c r="E44" s="227"/>
      <c r="F44" s="355"/>
      <c r="G44" s="355"/>
      <c r="H44" s="355"/>
      <c r="I44" s="355"/>
      <c r="J44" s="355"/>
      <c r="K44" s="355"/>
      <c r="L44" s="59"/>
      <c r="M44" s="325" t="s">
        <v>16</v>
      </c>
      <c r="N44" s="355"/>
      <c r="O44" s="626">
        <f>O107</f>
        <v>0</v>
      </c>
    </row>
    <row r="45" spans="1:16" ht="18.600000000000001" thickTop="1" thickBot="1" x14ac:dyDescent="0.3">
      <c r="A45" s="322"/>
      <c r="B45" s="227"/>
      <c r="C45" s="227"/>
      <c r="D45" s="227"/>
      <c r="E45" s="227"/>
      <c r="F45" s="355"/>
      <c r="G45" s="355"/>
      <c r="H45" s="355"/>
      <c r="I45" s="355"/>
      <c r="J45" s="355"/>
      <c r="K45" s="355"/>
      <c r="L45" s="261" t="s">
        <v>153</v>
      </c>
      <c r="M45" s="441">
        <f>M108</f>
        <v>1</v>
      </c>
      <c r="N45" s="440" t="s">
        <v>154</v>
      </c>
      <c r="O45" s="626">
        <f>O108</f>
        <v>0</v>
      </c>
      <c r="P45" s="346">
        <f>O45-B80</f>
        <v>0</v>
      </c>
    </row>
    <row r="46" spans="1:16" ht="18" thickTop="1" x14ac:dyDescent="0.25">
      <c r="A46" s="90" t="s">
        <v>638</v>
      </c>
      <c r="B46" s="21"/>
      <c r="C46" s="21"/>
      <c r="D46" s="21"/>
      <c r="E46" s="21"/>
      <c r="F46" s="21"/>
      <c r="G46" s="21"/>
      <c r="H46" s="91"/>
      <c r="I46" s="92"/>
      <c r="J46" s="63"/>
      <c r="K46" s="21"/>
      <c r="L46" s="69"/>
      <c r="M46" s="21"/>
      <c r="N46" s="69"/>
      <c r="O46" s="590"/>
    </row>
    <row r="47" spans="1:16" x14ac:dyDescent="0.25">
      <c r="A47" s="37" t="s">
        <v>157</v>
      </c>
      <c r="B47" s="36"/>
      <c r="C47" s="36"/>
      <c r="D47" s="36"/>
      <c r="E47" s="36"/>
      <c r="F47" s="36"/>
      <c r="G47" s="36"/>
      <c r="H47" s="62" t="s">
        <v>97</v>
      </c>
      <c r="I47" s="42"/>
      <c r="J47" s="63"/>
      <c r="K47" s="64" t="s">
        <v>4</v>
      </c>
      <c r="L47" s="21"/>
      <c r="M47" s="64" t="s">
        <v>95</v>
      </c>
      <c r="N47" s="65" t="s">
        <v>92</v>
      </c>
      <c r="O47" s="627">
        <f>IF('Input Data'!E10="B",'Time Based'!I37,0)</f>
        <v>0</v>
      </c>
    </row>
    <row r="48" spans="1:16" x14ac:dyDescent="0.25">
      <c r="A48" s="24" t="s">
        <v>146</v>
      </c>
      <c r="B48" s="231" t="s">
        <v>155</v>
      </c>
      <c r="C48" s="21"/>
      <c r="D48" s="21"/>
      <c r="E48" s="21"/>
      <c r="F48" s="21"/>
      <c r="G48" s="21"/>
      <c r="H48" s="69" t="s">
        <v>147</v>
      </c>
      <c r="I48" s="22"/>
      <c r="J48" s="63"/>
      <c r="K48" s="64" t="s">
        <v>4</v>
      </c>
      <c r="L48" s="21"/>
      <c r="M48" s="64" t="s">
        <v>95</v>
      </c>
      <c r="N48" s="65"/>
      <c r="O48" s="627">
        <f>IF('Input Data'!E10="B",'Subsistance &amp; Travelling'!O17,0)</f>
        <v>0</v>
      </c>
    </row>
    <row r="49" spans="1:15" ht="15.6" thickBot="1" x14ac:dyDescent="0.3">
      <c r="A49" s="24" t="s">
        <v>148</v>
      </c>
      <c r="B49" s="21"/>
      <c r="C49" s="21"/>
      <c r="D49" s="21"/>
      <c r="E49" s="21"/>
      <c r="F49" s="21"/>
      <c r="G49" s="21"/>
      <c r="H49" s="69" t="s">
        <v>149</v>
      </c>
      <c r="I49" s="42"/>
      <c r="J49" s="63"/>
      <c r="K49" s="102" t="s">
        <v>4</v>
      </c>
      <c r="L49" s="35"/>
      <c r="M49" s="102" t="s">
        <v>95</v>
      </c>
      <c r="N49" s="103" t="s">
        <v>92</v>
      </c>
      <c r="O49" s="628">
        <f>IF('Input Data'!E10="B",'Time Based'!I77,0)</f>
        <v>0</v>
      </c>
    </row>
    <row r="50" spans="1:15" ht="15.6" thickBot="1" x14ac:dyDescent="0.3">
      <c r="A50" s="38"/>
      <c r="B50" s="39"/>
      <c r="C50" s="39"/>
      <c r="D50" s="28"/>
      <c r="E50" s="28"/>
      <c r="F50" s="28"/>
      <c r="G50" s="28"/>
      <c r="H50" s="70"/>
      <c r="I50" s="71"/>
      <c r="J50" s="72"/>
      <c r="K50" s="71"/>
      <c r="L50" s="28"/>
      <c r="M50" s="28"/>
      <c r="N50" s="277" t="s">
        <v>23</v>
      </c>
      <c r="O50" s="600">
        <f>SUM(O47:O49)</f>
        <v>0</v>
      </c>
    </row>
    <row r="51" spans="1:15" ht="16.8" thickTop="1" thickBot="1" x14ac:dyDescent="0.3">
      <c r="A51" s="1186"/>
      <c r="B51" s="1187"/>
      <c r="C51" s="1187"/>
      <c r="D51" s="227"/>
      <c r="E51" s="227"/>
      <c r="F51" s="227"/>
      <c r="G51" s="227"/>
      <c r="H51" s="1188"/>
      <c r="I51" s="1189"/>
      <c r="J51" s="1190"/>
      <c r="K51" s="1189"/>
      <c r="L51" s="227"/>
      <c r="M51" s="730" t="s">
        <v>334</v>
      </c>
      <c r="N51" s="440"/>
      <c r="O51" s="689">
        <f>'Input Data'!F11*'Input Data'!H11</f>
        <v>0</v>
      </c>
    </row>
    <row r="52" spans="1:15" ht="18" thickTop="1" x14ac:dyDescent="0.25">
      <c r="A52" s="90" t="s">
        <v>639</v>
      </c>
      <c r="B52" s="21"/>
      <c r="C52" s="21"/>
      <c r="D52" s="21"/>
      <c r="E52" s="21"/>
      <c r="F52" s="21"/>
      <c r="G52" s="21"/>
      <c r="H52" s="21"/>
      <c r="I52" s="21"/>
      <c r="J52" s="21"/>
      <c r="K52" s="21"/>
      <c r="L52" s="21"/>
      <c r="M52" s="74"/>
      <c r="N52" s="66"/>
      <c r="O52" s="627"/>
    </row>
    <row r="53" spans="1:15" x14ac:dyDescent="0.25">
      <c r="A53" s="24" t="s">
        <v>596</v>
      </c>
      <c r="B53" s="21"/>
      <c r="C53" s="21"/>
      <c r="D53" s="231" t="s">
        <v>155</v>
      </c>
      <c r="E53" s="21"/>
      <c r="F53" s="21"/>
      <c r="G53" s="21"/>
      <c r="H53" s="21"/>
      <c r="I53" s="21"/>
      <c r="J53" s="21"/>
      <c r="K53" s="69"/>
      <c r="L53" s="21"/>
      <c r="M53" s="22"/>
      <c r="N53" s="22"/>
      <c r="O53" s="622">
        <f>'Subsistance &amp; Travelling'!O86</f>
        <v>0</v>
      </c>
    </row>
    <row r="54" spans="1:15" x14ac:dyDescent="0.25">
      <c r="A54" s="24" t="s">
        <v>74</v>
      </c>
      <c r="B54" s="21"/>
      <c r="C54" s="21"/>
      <c r="D54" s="21"/>
      <c r="E54" s="21"/>
      <c r="F54" s="21"/>
      <c r="G54" s="21"/>
      <c r="H54" s="21"/>
      <c r="I54" s="21"/>
      <c r="J54" s="21"/>
      <c r="K54" s="69"/>
      <c r="L54" s="21"/>
      <c r="M54" s="22"/>
      <c r="N54" s="22"/>
      <c r="O54" s="622">
        <f>'Typing, Duplicating, &amp; Printing'!J66</f>
        <v>0</v>
      </c>
    </row>
    <row r="55" spans="1:15" x14ac:dyDescent="0.25">
      <c r="A55" s="24" t="s">
        <v>598</v>
      </c>
      <c r="B55" s="21"/>
      <c r="C55" s="21"/>
      <c r="D55" s="21"/>
      <c r="E55" s="21"/>
      <c r="F55" s="21"/>
      <c r="G55" s="21"/>
      <c r="H55" s="21"/>
      <c r="I55" s="21"/>
      <c r="J55" s="21"/>
      <c r="K55" s="69"/>
      <c r="L55" s="21"/>
      <c r="M55" s="22"/>
      <c r="N55" s="22"/>
      <c r="O55" s="622">
        <f>'Site staff &amp; Other'!I48</f>
        <v>0</v>
      </c>
    </row>
    <row r="56" spans="1:15" ht="15.6" thickBot="1" x14ac:dyDescent="0.3">
      <c r="A56" s="1209" t="s">
        <v>592</v>
      </c>
      <c r="B56" s="21"/>
      <c r="C56" s="21"/>
      <c r="D56" s="21"/>
      <c r="E56" s="21"/>
      <c r="F56" s="21"/>
      <c r="G56" s="21"/>
      <c r="H56" s="21"/>
      <c r="I56" s="21"/>
      <c r="J56" s="21"/>
      <c r="K56" s="1210"/>
      <c r="L56" s="35"/>
      <c r="M56" s="102"/>
      <c r="N56" s="1211"/>
      <c r="O56" s="1212">
        <f>'Site staff &amp; Other'!I63</f>
        <v>0</v>
      </c>
    </row>
    <row r="57" spans="1:15" ht="15.6" thickBot="1" x14ac:dyDescent="0.3">
      <c r="A57" s="38"/>
      <c r="B57" s="28"/>
      <c r="C57" s="28"/>
      <c r="D57" s="28"/>
      <c r="E57" s="28"/>
      <c r="F57" s="28"/>
      <c r="G57" s="28"/>
      <c r="H57" s="76"/>
      <c r="I57" s="39"/>
      <c r="J57" s="28"/>
      <c r="K57" s="76"/>
      <c r="L57" s="59"/>
      <c r="M57" s="39"/>
      <c r="N57" s="278" t="s">
        <v>219</v>
      </c>
      <c r="O57" s="602">
        <f>SUM(O53:O56)</f>
        <v>0</v>
      </c>
    </row>
    <row r="58" spans="1:15" ht="20.25" customHeight="1" thickTop="1" x14ac:dyDescent="0.25">
      <c r="A58" s="77"/>
      <c r="B58" s="78"/>
      <c r="C58" s="78"/>
      <c r="D58" s="21"/>
      <c r="E58" s="21"/>
      <c r="F58" s="21"/>
      <c r="G58" s="21"/>
      <c r="H58" s="21"/>
      <c r="I58" s="42"/>
      <c r="J58" s="279"/>
      <c r="K58" s="279"/>
      <c r="L58" s="279"/>
      <c r="M58" s="293" t="s">
        <v>220</v>
      </c>
      <c r="N58" s="279"/>
      <c r="O58" s="606">
        <f>O45-O51+O50+O57</f>
        <v>0</v>
      </c>
    </row>
    <row r="59" spans="1:15" x14ac:dyDescent="0.25">
      <c r="A59" s="24"/>
      <c r="B59" s="21"/>
      <c r="C59" s="21"/>
      <c r="D59" s="21"/>
      <c r="E59" s="21"/>
      <c r="F59" s="21"/>
      <c r="G59" s="22"/>
      <c r="H59" s="22"/>
      <c r="I59" s="79"/>
      <c r="J59" s="22"/>
      <c r="K59" s="22"/>
      <c r="L59" s="21"/>
      <c r="M59" s="64" t="s">
        <v>91</v>
      </c>
      <c r="N59" s="21"/>
      <c r="O59" s="629">
        <f>IF('Input Data'!E10="B",ROUND('Previous Claims'!M42,2),0)</f>
        <v>0</v>
      </c>
    </row>
    <row r="60" spans="1:15" ht="21" customHeight="1" thickBot="1" x14ac:dyDescent="0.3">
      <c r="A60" s="24"/>
      <c r="B60" s="21"/>
      <c r="C60" s="28"/>
      <c r="D60" s="21"/>
      <c r="E60" s="21"/>
      <c r="F60" s="21"/>
      <c r="G60" s="80"/>
      <c r="H60" s="33"/>
      <c r="I60" s="42"/>
      <c r="J60" s="264"/>
      <c r="K60" s="264"/>
      <c r="L60" s="264"/>
      <c r="M60" s="280" t="str">
        <f>IF($O$58&lt;$O$59,"OVERPAID BY (Excl Tax)",IF($O$57&gt;$O$58,"FEES NOW DUE EXCLUDING VAT &amp; NON TAXABLE AMOUNT",""))</f>
        <v/>
      </c>
      <c r="N60" s="264"/>
      <c r="O60" s="603">
        <f>O58-O59</f>
        <v>0</v>
      </c>
    </row>
    <row r="61" spans="1:15" ht="15.6" thickTop="1" x14ac:dyDescent="0.25">
      <c r="A61" s="77"/>
      <c r="B61" s="78"/>
      <c r="C61" s="21"/>
      <c r="D61" s="78" t="s">
        <v>0</v>
      </c>
      <c r="E61" s="78"/>
      <c r="F61" s="78"/>
      <c r="G61" s="81"/>
      <c r="H61" s="82">
        <f>IF('Input Data'!D28&lt;43191,14%,15%)</f>
        <v>0.15</v>
      </c>
      <c r="I61" s="78" t="s">
        <v>17</v>
      </c>
      <c r="J61" s="22"/>
      <c r="K61" s="83">
        <f>IF('Input Data'!E18&lt;0,0,O60)</f>
        <v>0</v>
      </c>
      <c r="L61" s="78"/>
      <c r="M61" s="78"/>
      <c r="N61" s="78"/>
      <c r="O61" s="630">
        <f>IF('Input Data'!E18="none",0,H61*K61)</f>
        <v>0</v>
      </c>
    </row>
    <row r="62" spans="1:15" x14ac:dyDescent="0.25">
      <c r="A62" s="24"/>
      <c r="B62" s="21"/>
      <c r="C62" s="21"/>
      <c r="D62" s="80"/>
      <c r="E62" s="80"/>
      <c r="F62" s="80"/>
      <c r="G62" s="69"/>
      <c r="H62" s="84"/>
      <c r="I62" s="27"/>
      <c r="J62" s="85"/>
      <c r="K62" s="34"/>
      <c r="L62" s="86"/>
      <c r="M62" s="556" t="s">
        <v>104</v>
      </c>
      <c r="N62" s="87"/>
      <c r="O62" s="618">
        <f>IF('Input Data'!E10="B",'Non Taxable'!J20,0)</f>
        <v>0</v>
      </c>
    </row>
    <row r="63" spans="1:15" ht="24" customHeight="1" thickBot="1" x14ac:dyDescent="0.3">
      <c r="A63" s="88"/>
      <c r="B63" s="36"/>
      <c r="C63" s="36"/>
      <c r="D63" s="36"/>
      <c r="E63" s="36"/>
      <c r="F63" s="36"/>
      <c r="G63" s="36"/>
      <c r="H63" s="61"/>
      <c r="I63" s="42"/>
      <c r="J63" s="281"/>
      <c r="K63" s="281"/>
      <c r="L63" s="281"/>
      <c r="M63" s="280" t="str">
        <f>IF($O$58&lt;$O$59,"AMOUNT TO BE RECOVERED (Incl VAT)",IF($O$58&gt;$O$59,"FEES NOW DUE INCLUDING VAT &amp; NON TAXABLE AMOUNT",""))</f>
        <v/>
      </c>
      <c r="N63" s="281"/>
      <c r="O63" s="606">
        <f>O60+O61+O62</f>
        <v>0</v>
      </c>
    </row>
    <row r="64" spans="1:15" ht="11.25" customHeight="1" thickTop="1" x14ac:dyDescent="0.25">
      <c r="A64" s="490"/>
      <c r="B64" s="491"/>
      <c r="C64" s="492"/>
      <c r="D64" s="492"/>
      <c r="E64" s="493"/>
      <c r="F64" s="492"/>
      <c r="G64" s="492"/>
      <c r="H64" s="492"/>
      <c r="I64" s="494"/>
      <c r="J64" s="495"/>
      <c r="K64" s="495"/>
      <c r="L64" s="495"/>
      <c r="M64" s="496"/>
      <c r="N64" s="497"/>
      <c r="O64" s="498"/>
    </row>
    <row r="65" spans="1:15" ht="15.6" x14ac:dyDescent="0.25">
      <c r="A65" s="499" t="s">
        <v>298</v>
      </c>
      <c r="B65" s="500"/>
      <c r="C65" s="501"/>
      <c r="D65" s="501"/>
      <c r="E65" s="501"/>
      <c r="F65" s="501"/>
      <c r="G65" s="559" t="s">
        <v>315</v>
      </c>
      <c r="H65" s="501"/>
      <c r="I65" s="501"/>
      <c r="J65" s="502"/>
      <c r="K65" s="502"/>
      <c r="L65" s="502"/>
      <c r="M65" s="502"/>
      <c r="N65" s="502"/>
      <c r="O65" s="568"/>
    </row>
    <row r="66" spans="1:15" ht="9" customHeight="1" x14ac:dyDescent="0.25">
      <c r="A66" s="506"/>
      <c r="B66" s="500"/>
      <c r="C66" s="501"/>
      <c r="D66" s="501"/>
      <c r="E66" s="501"/>
      <c r="F66" s="501"/>
      <c r="G66" s="501"/>
      <c r="H66" s="501"/>
      <c r="I66" s="501"/>
      <c r="J66" s="502"/>
      <c r="K66" s="502"/>
      <c r="L66" s="502"/>
      <c r="M66" s="502"/>
      <c r="N66" s="502"/>
      <c r="O66" s="568"/>
    </row>
    <row r="67" spans="1:15" ht="15.6" x14ac:dyDescent="0.25">
      <c r="A67" s="507"/>
      <c r="B67" s="508" t="s">
        <v>222</v>
      </c>
      <c r="C67" s="509"/>
      <c r="D67" s="510"/>
      <c r="E67" s="533"/>
      <c r="F67" s="533"/>
      <c r="G67" s="533"/>
      <c r="H67" s="533"/>
      <c r="I67" s="512"/>
      <c r="J67" s="502"/>
      <c r="K67" s="512"/>
      <c r="L67" s="508" t="s">
        <v>223</v>
      </c>
      <c r="M67" s="513"/>
      <c r="N67" s="513"/>
      <c r="O67" s="569"/>
    </row>
    <row r="68" spans="1:15" ht="9" customHeight="1" thickBot="1" x14ac:dyDescent="0.3">
      <c r="A68" s="514"/>
      <c r="B68" s="515"/>
      <c r="C68" s="516"/>
      <c r="D68" s="516"/>
      <c r="E68" s="516" t="s">
        <v>224</v>
      </c>
      <c r="F68" s="516"/>
      <c r="G68" s="516"/>
      <c r="H68" s="516"/>
      <c r="I68" s="517"/>
      <c r="J68" s="518"/>
      <c r="K68" s="518"/>
      <c r="L68" s="518"/>
      <c r="M68" s="518"/>
      <c r="N68" s="518"/>
      <c r="O68" s="570"/>
    </row>
    <row r="69" spans="1:15" ht="15.6" thickTop="1" x14ac:dyDescent="0.25">
      <c r="A69" s="522" t="s">
        <v>225</v>
      </c>
      <c r="B69" s="523"/>
      <c r="C69" s="501"/>
      <c r="D69" s="511"/>
      <c r="E69" s="511"/>
      <c r="F69" s="501"/>
      <c r="G69" s="511"/>
      <c r="H69" s="511"/>
      <c r="I69" s="524"/>
      <c r="J69" s="525"/>
      <c r="K69" s="501"/>
      <c r="L69" s="525"/>
      <c r="M69" s="501"/>
      <c r="N69" s="525"/>
      <c r="O69" s="529"/>
    </row>
    <row r="70" spans="1:15" x14ac:dyDescent="0.25">
      <c r="A70" s="527" t="s">
        <v>226</v>
      </c>
      <c r="B70" s="500"/>
      <c r="C70" s="501"/>
      <c r="D70" s="511"/>
      <c r="E70" s="511"/>
      <c r="F70" s="501"/>
      <c r="G70" s="511"/>
      <c r="H70" s="511"/>
      <c r="I70" s="501"/>
      <c r="J70" s="525"/>
      <c r="K70" s="501"/>
      <c r="L70" s="525"/>
      <c r="M70" s="501"/>
      <c r="N70" s="525"/>
      <c r="O70" s="529"/>
    </row>
    <row r="71" spans="1:15" ht="9" customHeight="1" x14ac:dyDescent="0.25">
      <c r="A71" s="506"/>
      <c r="B71" s="500"/>
      <c r="C71" s="501"/>
      <c r="D71" s="511"/>
      <c r="E71" s="511"/>
      <c r="F71" s="501"/>
      <c r="G71" s="511"/>
      <c r="H71" s="511"/>
      <c r="I71" s="501"/>
      <c r="J71" s="503"/>
      <c r="K71" s="501"/>
      <c r="L71" s="530"/>
      <c r="M71" s="501"/>
      <c r="N71" s="531"/>
      <c r="O71" s="529"/>
    </row>
    <row r="72" spans="1:15" ht="15.6" x14ac:dyDescent="0.25">
      <c r="A72" s="507"/>
      <c r="B72" s="508" t="s">
        <v>227</v>
      </c>
      <c r="C72" s="509"/>
      <c r="D72" s="533"/>
      <c r="E72" s="533"/>
      <c r="F72" s="510"/>
      <c r="G72" s="533"/>
      <c r="H72" s="533"/>
      <c r="I72" s="513"/>
      <c r="J72" s="560"/>
      <c r="K72" s="511"/>
      <c r="L72" s="508" t="s">
        <v>228</v>
      </c>
      <c r="M72" s="513"/>
      <c r="N72" s="534"/>
      <c r="O72" s="565"/>
    </row>
    <row r="73" spans="1:15" ht="8.25" customHeight="1" x14ac:dyDescent="0.25">
      <c r="A73" s="536"/>
      <c r="B73" s="537"/>
      <c r="C73" s="538"/>
      <c r="D73" s="511"/>
      <c r="E73" s="511"/>
      <c r="F73" s="501"/>
      <c r="G73" s="511"/>
      <c r="H73" s="511"/>
      <c r="I73" s="512"/>
      <c r="J73" s="560"/>
      <c r="K73" s="508"/>
      <c r="L73" s="525"/>
      <c r="M73" s="512"/>
      <c r="N73" s="539"/>
      <c r="O73" s="535"/>
    </row>
    <row r="74" spans="1:15" x14ac:dyDescent="0.25">
      <c r="A74" s="561"/>
      <c r="B74" s="562" t="s">
        <v>223</v>
      </c>
      <c r="C74" s="510"/>
      <c r="D74" s="533"/>
      <c r="E74" s="533"/>
      <c r="F74" s="510"/>
      <c r="G74" s="533"/>
      <c r="H74" s="533"/>
      <c r="I74" s="510"/>
      <c r="J74" s="563"/>
      <c r="K74" s="562"/>
      <c r="L74" s="562" t="s">
        <v>223</v>
      </c>
      <c r="M74" s="513"/>
      <c r="N74" s="564"/>
      <c r="O74" s="565"/>
    </row>
    <row r="75" spans="1:15" x14ac:dyDescent="0.25">
      <c r="A75" s="566" t="s">
        <v>314</v>
      </c>
      <c r="B75" s="2025"/>
      <c r="C75" s="2026"/>
      <c r="D75" s="2026"/>
      <c r="E75" s="2026"/>
      <c r="F75" s="2026"/>
      <c r="G75" s="2026"/>
      <c r="H75" s="2026"/>
      <c r="I75" s="2026"/>
      <c r="J75" s="2026"/>
      <c r="K75" s="2026"/>
      <c r="L75" s="2026"/>
      <c r="M75" s="2026"/>
      <c r="N75" s="2026"/>
      <c r="O75" s="2027"/>
    </row>
    <row r="76" spans="1:15" ht="15.6" thickBot="1" x14ac:dyDescent="0.3">
      <c r="A76" s="567"/>
      <c r="B76" s="2028"/>
      <c r="C76" s="2028"/>
      <c r="D76" s="2028"/>
      <c r="E76" s="2028"/>
      <c r="F76" s="2028"/>
      <c r="G76" s="2028"/>
      <c r="H76" s="2028"/>
      <c r="I76" s="2028"/>
      <c r="J76" s="2028"/>
      <c r="K76" s="2028"/>
      <c r="L76" s="2028"/>
      <c r="M76" s="2028"/>
      <c r="N76" s="2028"/>
      <c r="O76" s="2029"/>
    </row>
    <row r="77" spans="1:15" ht="16.2" thickTop="1" x14ac:dyDescent="0.25">
      <c r="A77" s="418" t="s">
        <v>225</v>
      </c>
      <c r="B77" s="419"/>
      <c r="C77" s="416"/>
      <c r="D77" s="354"/>
      <c r="E77" s="354"/>
      <c r="F77" s="416"/>
      <c r="G77" s="354"/>
      <c r="H77" s="354"/>
      <c r="I77" s="416"/>
      <c r="J77" s="354"/>
      <c r="K77" s="419"/>
      <c r="L77" s="354"/>
      <c r="M77" s="416"/>
      <c r="N77" s="420"/>
      <c r="O77" s="1219"/>
    </row>
    <row r="78" spans="1:15" ht="15.6" x14ac:dyDescent="0.25">
      <c r="A78" s="421" t="s">
        <v>229</v>
      </c>
      <c r="B78" s="422" t="s">
        <v>230</v>
      </c>
      <c r="C78" s="417"/>
      <c r="D78" s="57"/>
      <c r="E78" s="57"/>
      <c r="F78" s="417"/>
      <c r="G78" s="57"/>
      <c r="H78" s="57"/>
      <c r="I78" s="417"/>
      <c r="J78" s="57"/>
      <c r="K78" s="437"/>
      <c r="L78" s="57"/>
      <c r="M78" s="417"/>
      <c r="N78" s="423"/>
      <c r="O78" s="424"/>
    </row>
    <row r="79" spans="1:15" ht="39.6" x14ac:dyDescent="0.25">
      <c r="A79" s="425" t="s">
        <v>231</v>
      </c>
      <c r="B79" s="426" t="s">
        <v>232</v>
      </c>
      <c r="C79" s="1932" t="s">
        <v>233</v>
      </c>
      <c r="D79" s="1974"/>
      <c r="E79" s="1932" t="s">
        <v>597</v>
      </c>
      <c r="F79" s="1933"/>
      <c r="G79" s="427" t="s">
        <v>234</v>
      </c>
      <c r="H79" s="1015" t="s">
        <v>235</v>
      </c>
      <c r="I79" s="1014" t="s">
        <v>236</v>
      </c>
      <c r="J79" s="1221"/>
      <c r="K79" s="1014" t="s">
        <v>595</v>
      </c>
      <c r="L79" s="1223"/>
      <c r="M79" s="1015" t="s">
        <v>237</v>
      </c>
      <c r="N79" s="1911" t="s">
        <v>238</v>
      </c>
      <c r="O79" s="2024"/>
    </row>
    <row r="80" spans="1:15" x14ac:dyDescent="0.25">
      <c r="A80" s="428" t="s">
        <v>239</v>
      </c>
      <c r="B80" s="571">
        <f>'Previous Claims'!O42-C80-E80-G80-H80-M80</f>
        <v>0</v>
      </c>
      <c r="C80" s="1960">
        <f>'Time Based'!I78</f>
        <v>0</v>
      </c>
      <c r="D80" s="1973"/>
      <c r="E80" s="1964">
        <f>'Subsistance &amp; Travelling'!O87</f>
        <v>0</v>
      </c>
      <c r="F80" s="1965"/>
      <c r="G80" s="572">
        <f>'Typing, Duplicating, &amp; Printing'!J67</f>
        <v>0</v>
      </c>
      <c r="H80" s="1010">
        <f>'Site staff &amp; Other'!I47</f>
        <v>0</v>
      </c>
      <c r="I80" s="1012">
        <f>'Previous Claims'!J42</f>
        <v>0</v>
      </c>
      <c r="J80" s="1222"/>
      <c r="K80" s="1217"/>
      <c r="L80" s="1223"/>
      <c r="M80" s="1010">
        <f>'Non Taxable'!J19</f>
        <v>0</v>
      </c>
      <c r="N80" s="1975">
        <f>SUM(B80:M80)</f>
        <v>0</v>
      </c>
      <c r="O80" s="2036"/>
    </row>
    <row r="81" spans="1:15" x14ac:dyDescent="0.25">
      <c r="A81" s="428" t="s">
        <v>240</v>
      </c>
      <c r="B81" s="571">
        <f>O45-B80</f>
        <v>0</v>
      </c>
      <c r="C81" s="1960">
        <f>O50-C80</f>
        <v>0</v>
      </c>
      <c r="D81" s="1961"/>
      <c r="E81" s="1966">
        <f>O53-E80</f>
        <v>0</v>
      </c>
      <c r="F81" s="1967"/>
      <c r="G81" s="573">
        <f>O54-G80</f>
        <v>0</v>
      </c>
      <c r="H81" s="1012">
        <f>O55+O56-H80</f>
        <v>0</v>
      </c>
      <c r="I81" s="1012">
        <f>O61</f>
        <v>0</v>
      </c>
      <c r="J81" s="1013"/>
      <c r="K81" s="1218">
        <f>-O51</f>
        <v>0</v>
      </c>
      <c r="L81" s="1223"/>
      <c r="M81" s="1012">
        <f>O62</f>
        <v>0</v>
      </c>
      <c r="N81" s="1975">
        <f>SUM(B81:M81)</f>
        <v>0</v>
      </c>
      <c r="O81" s="2036"/>
    </row>
    <row r="82" spans="1:15" x14ac:dyDescent="0.25">
      <c r="A82" s="428" t="s">
        <v>241</v>
      </c>
      <c r="B82" s="571">
        <f>B80+B81</f>
        <v>0</v>
      </c>
      <c r="C82" s="1960">
        <f>C80+C81</f>
        <v>0</v>
      </c>
      <c r="D82" s="1973"/>
      <c r="E82" s="1964">
        <f>E80+E81</f>
        <v>0</v>
      </c>
      <c r="F82" s="1965"/>
      <c r="G82" s="572">
        <f>G80+G81</f>
        <v>0</v>
      </c>
      <c r="H82" s="1010">
        <f>H80+H81</f>
        <v>0</v>
      </c>
      <c r="I82" s="1012">
        <f>I80+I81</f>
        <v>0</v>
      </c>
      <c r="J82" s="1222"/>
      <c r="K82" s="1218">
        <f>K81+K80</f>
        <v>0</v>
      </c>
      <c r="L82" s="1223"/>
      <c r="M82" s="1010">
        <f>M80+M81</f>
        <v>0</v>
      </c>
      <c r="N82" s="1975">
        <f>SUM(B82:M82)</f>
        <v>0</v>
      </c>
      <c r="O82" s="2036"/>
    </row>
    <row r="83" spans="1:15" ht="15.6" thickBot="1" x14ac:dyDescent="0.3">
      <c r="A83" s="429" t="s">
        <v>229</v>
      </c>
      <c r="B83" s="574"/>
      <c r="C83" s="1968"/>
      <c r="D83" s="1972"/>
      <c r="E83" s="1968"/>
      <c r="F83" s="1969"/>
      <c r="G83" s="575"/>
      <c r="H83" s="1011"/>
      <c r="I83" s="1224"/>
      <c r="J83" s="1225"/>
      <c r="K83" s="1226"/>
      <c r="L83" s="1227"/>
      <c r="M83" s="1228"/>
      <c r="N83" s="1970">
        <f>SUM(B83:M83)</f>
        <v>0</v>
      </c>
      <c r="O83" s="2042"/>
    </row>
    <row r="84" spans="1:15" ht="18.600000000000001" thickTop="1" thickBot="1" x14ac:dyDescent="0.3">
      <c r="A84" s="2040" t="s">
        <v>273</v>
      </c>
      <c r="B84" s="2041"/>
      <c r="C84" s="548"/>
      <c r="D84" s="549"/>
      <c r="E84" s="548"/>
      <c r="F84" s="549"/>
      <c r="G84" s="549"/>
      <c r="H84" s="548"/>
      <c r="I84" s="548"/>
      <c r="J84" s="550"/>
      <c r="K84" s="548"/>
      <c r="L84" s="548"/>
      <c r="M84" s="549"/>
      <c r="N84" s="551"/>
      <c r="O84" s="552"/>
    </row>
    <row r="85" spans="1:15" ht="18.600000000000001" thickTop="1" thickBot="1" x14ac:dyDescent="0.3">
      <c r="A85" s="430" t="s">
        <v>243</v>
      </c>
      <c r="B85" s="59"/>
      <c r="C85" s="59"/>
      <c r="D85" s="59"/>
      <c r="E85" s="59"/>
      <c r="F85" s="59"/>
      <c r="G85" s="59"/>
      <c r="H85" s="59"/>
      <c r="I85" s="59"/>
      <c r="J85" s="59"/>
      <c r="K85" s="59"/>
      <c r="L85" s="59"/>
      <c r="M85" s="59"/>
      <c r="N85" s="59"/>
      <c r="O85" s="431"/>
    </row>
    <row r="86" spans="1:15" ht="18" thickTop="1" x14ac:dyDescent="0.25">
      <c r="A86" s="89" t="s">
        <v>621</v>
      </c>
      <c r="B86" s="54"/>
      <c r="C86" s="54"/>
      <c r="D86" s="54"/>
      <c r="E86" s="54"/>
      <c r="F86" s="54"/>
      <c r="G86" s="54"/>
      <c r="H86" s="54"/>
      <c r="I86" s="54"/>
      <c r="J86" s="54"/>
      <c r="K86" s="54"/>
      <c r="L86" s="54"/>
      <c r="M86" s="54"/>
      <c r="N86" s="54"/>
      <c r="O86" s="275"/>
    </row>
    <row r="87" spans="1:15" x14ac:dyDescent="0.25">
      <c r="A87" s="1988" t="s">
        <v>246</v>
      </c>
      <c r="B87" s="1805"/>
      <c r="C87" s="1805"/>
      <c r="D87" s="1805"/>
      <c r="E87" s="1805"/>
      <c r="F87" s="22"/>
      <c r="G87" s="42"/>
      <c r="H87" s="30"/>
      <c r="I87" s="1338">
        <f>IF('Input Data'!$F$32=1,0.05,IF('Input Data'!$F$32=2,Scales!$L$5,IF('Input Data'!$F$32=3,Scales!$L$6,IF('Input Data'!$F$32=4,Scales!$L$7,IF('Input Data'!$F$32&gt;4,0.7)))))</f>
        <v>0.7</v>
      </c>
      <c r="J87" s="50" t="s">
        <v>2</v>
      </c>
      <c r="K87" s="607">
        <f>IF('Input Data'!E10="B",'Input Data'!H43,0)</f>
        <v>0</v>
      </c>
      <c r="L87" s="608" t="s">
        <v>19</v>
      </c>
      <c r="M87" s="609">
        <f>IF('Input Data'!E10="B",$O$25,0)</f>
        <v>0</v>
      </c>
      <c r="N87" s="50" t="s">
        <v>196</v>
      </c>
      <c r="O87" s="588">
        <f>IF('Input Data'!$D$34="y",0,IF($K$88=0,0,(I87*K87/K88*M87)))</f>
        <v>0</v>
      </c>
    </row>
    <row r="88" spans="1:15" x14ac:dyDescent="0.25">
      <c r="A88" s="1989"/>
      <c r="B88" s="1805"/>
      <c r="C88" s="1805"/>
      <c r="D88" s="1805"/>
      <c r="E88" s="1805"/>
      <c r="F88" s="22"/>
      <c r="G88" s="276"/>
      <c r="H88" s="32"/>
      <c r="I88" s="1353"/>
      <c r="J88" s="47"/>
      <c r="K88" s="609">
        <f>IF('Input Data'!$E$10="B",'Input Data'!$H$47,0)</f>
        <v>0</v>
      </c>
      <c r="L88" s="608"/>
      <c r="M88" s="609"/>
      <c r="N88" s="52"/>
      <c r="O88" s="588"/>
    </row>
    <row r="89" spans="1:15" x14ac:dyDescent="0.25">
      <c r="A89" s="20"/>
      <c r="B89" s="21"/>
      <c r="C89" s="22"/>
      <c r="D89" s="22"/>
      <c r="E89" s="22"/>
      <c r="F89" s="22"/>
      <c r="G89" s="25"/>
      <c r="H89" s="33"/>
      <c r="I89" s="1371"/>
      <c r="J89" s="55"/>
      <c r="K89" s="610"/>
      <c r="L89" s="611"/>
      <c r="M89" s="610"/>
      <c r="N89" s="55"/>
      <c r="O89" s="590"/>
    </row>
    <row r="90" spans="1:15" x14ac:dyDescent="0.25">
      <c r="A90" s="1990" t="s">
        <v>126</v>
      </c>
      <c r="B90" s="1991"/>
      <c r="C90" s="1805"/>
      <c r="D90" s="1805"/>
      <c r="E90" s="23"/>
      <c r="F90" s="41"/>
      <c r="G90" s="25">
        <f>IF('Input Data'!$H$44&gt;0,1.25,0)</f>
        <v>0</v>
      </c>
      <c r="H90" s="30" t="s">
        <v>1</v>
      </c>
      <c r="I90" s="1338">
        <f>IF('Input Data'!$F$32=1,0.05,IF('Input Data'!$F$32=2,Scales!$L$5,IF('Input Data'!$F$32=3,Scales!$L$6,IF('Input Data'!$F$32=4,Scales!$L$7,IF('Input Data'!$F$32&gt;4,0.7)))))</f>
        <v>0.7</v>
      </c>
      <c r="J90" s="50" t="s">
        <v>2</v>
      </c>
      <c r="K90" s="607">
        <f>IF('Input Data'!E10="B",'Input Data'!H44,0)</f>
        <v>0</v>
      </c>
      <c r="L90" s="608" t="s">
        <v>19</v>
      </c>
      <c r="M90" s="609">
        <f>IF('Input Data'!E10="B",$O$25,0)</f>
        <v>0</v>
      </c>
      <c r="N90" s="50" t="s">
        <v>196</v>
      </c>
      <c r="O90" s="588">
        <f>IF('Input Data'!$D$34="y",0,IF($K$91=0,0,(G90*I90*K90/K91*M90)))</f>
        <v>0</v>
      </c>
    </row>
    <row r="91" spans="1:15" x14ac:dyDescent="0.25">
      <c r="A91" s="1995"/>
      <c r="B91" s="1918"/>
      <c r="C91" s="1918"/>
      <c r="D91" s="1918"/>
      <c r="E91" s="22"/>
      <c r="F91" s="22"/>
      <c r="G91" s="25"/>
      <c r="H91" s="33"/>
      <c r="I91" s="1371"/>
      <c r="J91" s="55"/>
      <c r="K91" s="609">
        <f>IF('Input Data'!E10="B",'Input Data'!$H$47,0)</f>
        <v>0</v>
      </c>
      <c r="L91" s="611"/>
      <c r="M91" s="610"/>
      <c r="N91" s="55"/>
      <c r="O91" s="590"/>
    </row>
    <row r="92" spans="1:15" x14ac:dyDescent="0.25">
      <c r="A92" s="5"/>
      <c r="B92" s="6"/>
      <c r="C92" s="6"/>
      <c r="D92" s="6"/>
      <c r="E92" s="22"/>
      <c r="F92" s="22"/>
      <c r="G92" s="25"/>
      <c r="H92" s="33"/>
      <c r="I92" s="1353"/>
      <c r="J92" s="50"/>
      <c r="K92" s="612"/>
      <c r="L92" s="611"/>
      <c r="M92" s="612"/>
      <c r="N92" s="55"/>
      <c r="O92" s="590"/>
    </row>
    <row r="93" spans="1:15" x14ac:dyDescent="0.25">
      <c r="A93" s="1996" t="s">
        <v>103</v>
      </c>
      <c r="B93" s="1997"/>
      <c r="C93" s="1997"/>
      <c r="D93" s="1997"/>
      <c r="E93" s="22"/>
      <c r="F93" s="22"/>
      <c r="G93" s="25">
        <f>IF('Input Data'!$H$45&gt;0,0.25,0)</f>
        <v>0</v>
      </c>
      <c r="H93" s="33"/>
      <c r="I93" s="1338">
        <f>IF('Input Data'!$F$32=1,0.05,IF('Input Data'!$F$32=2,Scales!$L$5,IF('Input Data'!$F$32=3,Scales!$L$6,IF('Input Data'!$F$32=4,Scales!$L$7,IF('Input Data'!$F$32&gt;4,0.7)))))</f>
        <v>0.7</v>
      </c>
      <c r="J93" s="50" t="s">
        <v>2</v>
      </c>
      <c r="K93" s="607">
        <f>IF('Input Data'!E10="B",'Input Data'!H45,0)</f>
        <v>0</v>
      </c>
      <c r="L93" s="611" t="s">
        <v>19</v>
      </c>
      <c r="M93" s="609">
        <f>IF('Input Data'!E10="B",$O$25,0)</f>
        <v>0</v>
      </c>
      <c r="N93" s="50" t="s">
        <v>196</v>
      </c>
      <c r="O93" s="588">
        <f>IF('Input Data'!$D$34="y",0,IF($K$94=0,0,(G93*I93*K93/K94*M93)))</f>
        <v>0</v>
      </c>
    </row>
    <row r="94" spans="1:15" x14ac:dyDescent="0.25">
      <c r="A94" s="1998"/>
      <c r="B94" s="1999"/>
      <c r="C94" s="1999"/>
      <c r="D94" s="1999"/>
      <c r="E94" s="22"/>
      <c r="F94" s="22"/>
      <c r="G94" s="25"/>
      <c r="H94" s="33"/>
      <c r="I94" s="1353"/>
      <c r="J94" s="50"/>
      <c r="K94" s="609">
        <f>IF('Input Data'!E10="B",'Input Data'!$H$47,0)</f>
        <v>0</v>
      </c>
      <c r="L94" s="611"/>
      <c r="M94" s="612"/>
      <c r="N94" s="55"/>
      <c r="O94" s="590"/>
    </row>
    <row r="95" spans="1:15" x14ac:dyDescent="0.25">
      <c r="A95" s="24"/>
      <c r="B95" s="21"/>
      <c r="C95" s="22"/>
      <c r="D95" s="22"/>
      <c r="E95" s="22"/>
      <c r="F95" s="22"/>
      <c r="G95" s="25"/>
      <c r="H95" s="33"/>
      <c r="I95" s="1353"/>
      <c r="J95" s="50"/>
      <c r="K95" s="612"/>
      <c r="L95" s="611"/>
      <c r="M95" s="612"/>
      <c r="N95" s="55"/>
      <c r="O95" s="590"/>
    </row>
    <row r="96" spans="1:15" x14ac:dyDescent="0.25">
      <c r="A96" s="1996" t="s">
        <v>130</v>
      </c>
      <c r="B96" s="1997"/>
      <c r="C96" s="1997"/>
      <c r="D96" s="1997"/>
      <c r="E96" s="25">
        <f>IF('Input Data'!$H$46&gt;0,0.25,0)</f>
        <v>0</v>
      </c>
      <c r="F96" s="30" t="s">
        <v>1</v>
      </c>
      <c r="G96" s="25">
        <f>IF('Input Data'!$H$46&gt;0,1.25,0)</f>
        <v>0</v>
      </c>
      <c r="H96" s="30" t="s">
        <v>1</v>
      </c>
      <c r="I96" s="1338">
        <f>IF('Input Data'!$F$32=1,0.05,IF('Input Data'!$F$32=2,Scales!$L$5,IF('Input Data'!$F$32=3,Scales!$L$6,IF('Input Data'!$F$32=4,Scales!$L$7,IF('Input Data'!$F$32&gt;4,0.7)))))</f>
        <v>0.7</v>
      </c>
      <c r="J96" s="50" t="s">
        <v>2</v>
      </c>
      <c r="K96" s="607">
        <f>IF('Input Data'!E10="B",'Input Data'!H46,0)</f>
        <v>0</v>
      </c>
      <c r="L96" s="608" t="s">
        <v>1</v>
      </c>
      <c r="M96" s="609">
        <f>IF('Input Data'!E10="B",$O$25,)</f>
        <v>0</v>
      </c>
      <c r="N96" s="50" t="s">
        <v>196</v>
      </c>
      <c r="O96" s="588">
        <f>IF('Input Data'!$D$34="y",0,IF($K$97=0,0,(E96*G96*I96*K96/K97*M96)))</f>
        <v>0</v>
      </c>
    </row>
    <row r="97" spans="1:15" x14ac:dyDescent="0.25">
      <c r="A97" s="1998"/>
      <c r="B97" s="1999"/>
      <c r="C97" s="1999"/>
      <c r="D97" s="1999"/>
      <c r="E97" s="19"/>
      <c r="F97" s="19"/>
      <c r="G97" s="25"/>
      <c r="H97" s="33"/>
      <c r="I97" s="1353"/>
      <c r="J97" s="55"/>
      <c r="K97" s="609">
        <f>IF('Input Data'!E10="B",'Input Data'!$H$47,0)</f>
        <v>0</v>
      </c>
      <c r="L97" s="611"/>
      <c r="M97" s="610"/>
      <c r="N97" s="55"/>
      <c r="O97" s="590"/>
    </row>
    <row r="98" spans="1:15" x14ac:dyDescent="0.25">
      <c r="A98" s="26"/>
      <c r="B98" s="27"/>
      <c r="C98" s="27"/>
      <c r="D98" s="27"/>
      <c r="E98" s="27"/>
      <c r="F98" s="27"/>
      <c r="G98" s="27"/>
      <c r="H98" s="27"/>
      <c r="I98" s="56"/>
      <c r="J98" s="56"/>
      <c r="K98" s="57"/>
      <c r="L98" s="57"/>
      <c r="M98" s="57"/>
      <c r="N98" s="57"/>
      <c r="O98" s="591"/>
    </row>
    <row r="99" spans="1:15" ht="15.6" thickBot="1" x14ac:dyDescent="0.3">
      <c r="A99" s="282"/>
      <c r="B99" s="283"/>
      <c r="C99" s="284"/>
      <c r="D99" s="284"/>
      <c r="E99" s="284"/>
      <c r="F99" s="284"/>
      <c r="G99" s="284"/>
      <c r="H99" s="284"/>
      <c r="I99" s="285"/>
      <c r="J99" s="286"/>
      <c r="K99" s="285"/>
      <c r="L99" s="287"/>
      <c r="M99" s="271" t="s">
        <v>217</v>
      </c>
      <c r="N99" s="287"/>
      <c r="O99" s="631">
        <f>SUM(O87:O98)</f>
        <v>0</v>
      </c>
    </row>
    <row r="100" spans="1:15" ht="18" thickTop="1" x14ac:dyDescent="0.25">
      <c r="A100" s="90" t="s">
        <v>620</v>
      </c>
      <c r="B100" s="21"/>
      <c r="C100" s="21"/>
      <c r="D100" s="21"/>
      <c r="E100" s="21"/>
      <c r="F100" s="21"/>
      <c r="G100" s="21"/>
      <c r="H100" s="21"/>
      <c r="I100" s="21"/>
      <c r="J100" s="21"/>
      <c r="K100" s="21"/>
      <c r="L100" s="21"/>
      <c r="M100" s="60"/>
      <c r="N100" s="21"/>
      <c r="O100" s="590"/>
    </row>
    <row r="101" spans="1:15" x14ac:dyDescent="0.25">
      <c r="A101" s="1988" t="s">
        <v>245</v>
      </c>
      <c r="B101" s="1805"/>
      <c r="C101" s="1805"/>
      <c r="D101" s="30"/>
      <c r="E101" s="30"/>
      <c r="F101" s="30"/>
      <c r="G101" s="22"/>
      <c r="H101" s="22"/>
      <c r="I101" s="1353">
        <f>IF('Input Data'!$F$32&lt;5,0,IF('Input Data'!$F$32=5,0.25,IF('Input Data'!$F$32=6,0.3)))</f>
        <v>0.25</v>
      </c>
      <c r="J101" s="46" t="s">
        <v>2</v>
      </c>
      <c r="K101" s="613">
        <f>IF('Input Data'!$E$10="B",IF('Input Data'!$F$32&gt;4,'Input Data'!$H$52,0),0)</f>
        <v>0</v>
      </c>
      <c r="L101" s="608" t="s">
        <v>19</v>
      </c>
      <c r="M101" s="614">
        <f>IF('Input Data'!$E$10="B",IF('Input Data'!$F$32&gt;3,$O$25,0),0)</f>
        <v>0</v>
      </c>
      <c r="N101" s="50" t="s">
        <v>196</v>
      </c>
      <c r="O101" s="588">
        <f>IF('Input Data'!E10="B",IF('Input Data'!H52&gt;0,(I101*K101/K102*M101),0),0)</f>
        <v>0</v>
      </c>
    </row>
    <row r="102" spans="1:15" x14ac:dyDescent="0.25">
      <c r="A102" s="1989"/>
      <c r="B102" s="1805"/>
      <c r="C102" s="1805"/>
      <c r="D102" s="32"/>
      <c r="E102" s="32"/>
      <c r="F102" s="32"/>
      <c r="G102" s="22"/>
      <c r="H102" s="22"/>
      <c r="I102" s="1353"/>
      <c r="J102" s="31"/>
      <c r="K102" s="609">
        <f>IF('Input Data'!$E$10="B",IF('Input Data'!$F$32&lt;5,0,'Input Data'!$H$47),0)</f>
        <v>0</v>
      </c>
      <c r="L102" s="608"/>
      <c r="M102" s="609"/>
      <c r="N102" s="47"/>
      <c r="O102" s="588"/>
    </row>
    <row r="103" spans="1:15" x14ac:dyDescent="0.25">
      <c r="A103" s="29"/>
      <c r="B103" s="22"/>
      <c r="C103" s="31"/>
      <c r="D103" s="32"/>
      <c r="E103" s="32"/>
      <c r="F103" s="32"/>
      <c r="G103" s="22"/>
      <c r="H103" s="22"/>
      <c r="I103" s="1353"/>
      <c r="J103" s="31"/>
      <c r="K103" s="609"/>
      <c r="L103" s="608"/>
      <c r="M103" s="609"/>
      <c r="N103" s="47"/>
      <c r="O103" s="588"/>
    </row>
    <row r="104" spans="1:15" x14ac:dyDescent="0.25">
      <c r="A104" s="1990" t="s">
        <v>126</v>
      </c>
      <c r="B104" s="1991"/>
      <c r="C104" s="1805"/>
      <c r="D104" s="1918"/>
      <c r="E104" s="30"/>
      <c r="F104" s="30"/>
      <c r="G104" s="25">
        <f>IF('Input Data'!$H$53&gt;0,1.25,0)</f>
        <v>0</v>
      </c>
      <c r="H104" s="22" t="s">
        <v>19</v>
      </c>
      <c r="I104" s="1353">
        <f>IF('Input Data'!$F$32&lt;5,0,IF('Input Data'!$F$32=5,0.25,IF('Input Data'!$F$32=6,0.3)))</f>
        <v>0.25</v>
      </c>
      <c r="J104" s="46" t="s">
        <v>2</v>
      </c>
      <c r="K104" s="613">
        <f>IF('Input Data'!$E$10="B",IF('Input Data'!$F$32&gt;4,'Input Data'!$H$53,0),0)</f>
        <v>0</v>
      </c>
      <c r="L104" s="608" t="s">
        <v>19</v>
      </c>
      <c r="M104" s="609">
        <f>IF('Input Data'!$E$10="B",IF('Input Data'!$F$32&gt;3,$O$25,0),0)</f>
        <v>0</v>
      </c>
      <c r="N104" s="50" t="s">
        <v>196</v>
      </c>
      <c r="O104" s="588">
        <f>IF('Input Data'!$E$10="B",IF('Input Data'!$H$53&gt;0,(G104*I104*K104/K105*M104),0),0)</f>
        <v>0</v>
      </c>
    </row>
    <row r="105" spans="1:15" x14ac:dyDescent="0.25">
      <c r="A105" s="1992"/>
      <c r="B105" s="1993"/>
      <c r="C105" s="1993"/>
      <c r="D105" s="1994"/>
      <c r="E105" s="272"/>
      <c r="F105" s="272"/>
      <c r="G105" s="34"/>
      <c r="H105" s="34"/>
      <c r="I105" s="273"/>
      <c r="J105" s="27"/>
      <c r="K105" s="607">
        <f>IF('Input Data'!$E$10="B",IF('Input Data'!$F$32&lt;5,0,'Input Data'!$H$47),0)</f>
        <v>0</v>
      </c>
      <c r="L105" s="615"/>
      <c r="M105" s="616"/>
      <c r="N105" s="56"/>
      <c r="O105" s="595"/>
    </row>
    <row r="106" spans="1:15" ht="15.6" thickBot="1" x14ac:dyDescent="0.3">
      <c r="A106" s="288"/>
      <c r="B106" s="284"/>
      <c r="C106" s="284"/>
      <c r="D106" s="284"/>
      <c r="E106" s="284"/>
      <c r="F106" s="284"/>
      <c r="G106" s="284"/>
      <c r="H106" s="284"/>
      <c r="I106" s="285"/>
      <c r="J106" s="284"/>
      <c r="K106" s="289"/>
      <c r="L106" s="290"/>
      <c r="M106" s="262" t="s">
        <v>218</v>
      </c>
      <c r="N106" s="15"/>
      <c r="O106" s="632">
        <f>SUM(O101:O105)</f>
        <v>0</v>
      </c>
    </row>
    <row r="107" spans="1:15" ht="16.8" thickTop="1" thickBot="1" x14ac:dyDescent="0.3">
      <c r="A107" s="94"/>
      <c r="B107" s="93"/>
      <c r="C107" s="93"/>
      <c r="D107" s="93"/>
      <c r="E107" s="93"/>
      <c r="F107" s="93"/>
      <c r="G107" s="93"/>
      <c r="H107" s="93"/>
      <c r="I107" s="95"/>
      <c r="J107" s="93"/>
      <c r="K107" s="93"/>
      <c r="L107" s="93"/>
      <c r="M107" s="292" t="s">
        <v>16</v>
      </c>
      <c r="N107" s="42"/>
      <c r="O107" s="617">
        <f>O99+O106</f>
        <v>0</v>
      </c>
    </row>
    <row r="108" spans="1:15" ht="22.5" customHeight="1" thickTop="1" thickBot="1" x14ac:dyDescent="0.3">
      <c r="A108" s="322"/>
      <c r="B108" s="227"/>
      <c r="C108" s="227"/>
      <c r="D108" s="227"/>
      <c r="E108" s="227"/>
      <c r="F108" s="227"/>
      <c r="G108" s="228"/>
      <c r="H108" s="227"/>
      <c r="I108" s="355"/>
      <c r="J108" s="227"/>
      <c r="K108" s="227"/>
      <c r="L108" s="261" t="s">
        <v>153</v>
      </c>
      <c r="M108" s="291">
        <f>'Input Data'!D27</f>
        <v>1</v>
      </c>
      <c r="N108" s="229" t="s">
        <v>154</v>
      </c>
      <c r="O108" s="599">
        <f>M108*O107</f>
        <v>0</v>
      </c>
    </row>
    <row r="109" spans="1:15" ht="15.6" thickTop="1" x14ac:dyDescent="0.25"/>
  </sheetData>
  <sheetProtection algorithmName="SHA-512" hashValue="S9jp1BPtWXEXsuicqsun6hnpqvw+GAFwnQaF3xoUYEkfKB4qhv7qvKzALvD/Hlk0U28e62GtvdMN79yOGoc0xQ==" saltValue="ymx7LMWubeeQIEAW0WuSTA==" spinCount="100000" sheet="1" objects="1" scenarios="1" formatCells="0" formatColumns="0" formatRows="0"/>
  <mergeCells count="69">
    <mergeCell ref="A84:B84"/>
    <mergeCell ref="N83:O83"/>
    <mergeCell ref="C83:D83"/>
    <mergeCell ref="N82:O82"/>
    <mergeCell ref="C82:D82"/>
    <mergeCell ref="E82:F82"/>
    <mergeCell ref="E83:F83"/>
    <mergeCell ref="C81:D81"/>
    <mergeCell ref="N81:O81"/>
    <mergeCell ref="E81:F81"/>
    <mergeCell ref="N7:O7"/>
    <mergeCell ref="B13:L13"/>
    <mergeCell ref="C80:D80"/>
    <mergeCell ref="N80:O80"/>
    <mergeCell ref="E80:F80"/>
    <mergeCell ref="B6:M6"/>
    <mergeCell ref="B9:G9"/>
    <mergeCell ref="J7:K7"/>
    <mergeCell ref="I11:J11"/>
    <mergeCell ref="N79:O79"/>
    <mergeCell ref="C79:D79"/>
    <mergeCell ref="E79:F79"/>
    <mergeCell ref="B75:O76"/>
    <mergeCell ref="B8:G8"/>
    <mergeCell ref="B21:H21"/>
    <mergeCell ref="I9:M9"/>
    <mergeCell ref="L20:O20"/>
    <mergeCell ref="C17:G17"/>
    <mergeCell ref="C16:G16"/>
    <mergeCell ref="I18:J18"/>
    <mergeCell ref="M17:N17"/>
    <mergeCell ref="N5:O5"/>
    <mergeCell ref="I17:J17"/>
    <mergeCell ref="A22:G22"/>
    <mergeCell ref="J22:N22"/>
    <mergeCell ref="I19:J19"/>
    <mergeCell ref="J21:N21"/>
    <mergeCell ref="C18:G18"/>
    <mergeCell ref="I20:J20"/>
    <mergeCell ref="A20:B20"/>
    <mergeCell ref="C20:G20"/>
    <mergeCell ref="M19:N19"/>
    <mergeCell ref="I10:J10"/>
    <mergeCell ref="L11:O11"/>
    <mergeCell ref="N13:O13"/>
    <mergeCell ref="B14:M14"/>
    <mergeCell ref="E11:G11"/>
    <mergeCell ref="A101:C102"/>
    <mergeCell ref="A104:D105"/>
    <mergeCell ref="A87:E88"/>
    <mergeCell ref="A90:D91"/>
    <mergeCell ref="A93:D94"/>
    <mergeCell ref="A96:D97"/>
    <mergeCell ref="J4:K4"/>
    <mergeCell ref="A19:B19"/>
    <mergeCell ref="C19:G19"/>
    <mergeCell ref="A16:B16"/>
    <mergeCell ref="A17:B17"/>
    <mergeCell ref="A18:B18"/>
    <mergeCell ref="H7:I7"/>
    <mergeCell ref="H8:I8"/>
    <mergeCell ref="B15:M15"/>
    <mergeCell ref="B11:C11"/>
    <mergeCell ref="J8:M8"/>
    <mergeCell ref="B10:G10"/>
    <mergeCell ref="L10:M10"/>
    <mergeCell ref="B7:G7"/>
    <mergeCell ref="M18:N18"/>
    <mergeCell ref="M4:N4"/>
  </mergeCells>
  <phoneticPr fontId="33" type="noConversion"/>
  <conditionalFormatting sqref="N83:N84 E83:E84 C83:C84 B83 G83:I83 M83">
    <cfRule type="expression" dxfId="3" priority="1" stopIfTrue="1">
      <formula>B83&lt;B82</formula>
    </cfRule>
  </conditionalFormatting>
  <conditionalFormatting sqref="H84:I84">
    <cfRule type="expression" dxfId="2" priority="10" stopIfTrue="1">
      <formula>H84&lt;G83</formula>
    </cfRule>
  </conditionalFormatting>
  <conditionalFormatting sqref="K84">
    <cfRule type="expression" dxfId="1" priority="13" stopIfTrue="1">
      <formula>K84&lt;I83</formula>
    </cfRule>
  </conditionalFormatting>
  <conditionalFormatting sqref="L84">
    <cfRule type="expression" dxfId="0" priority="14" stopIfTrue="1">
      <formula>L84&lt;M83</formula>
    </cfRule>
  </conditionalFormatting>
  <pageMargins left="0.75" right="0.75" top="1" bottom="1" header="0.5" footer="0.5"/>
  <pageSetup paperSize="9" scale="47" orientation="portrait" horizontalDpi="300" verticalDpi="300" r:id="rId1"/>
  <headerFooter alignWithMargins="0"/>
  <rowBreaks count="1" manualBreakCount="1">
    <brk id="83"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L20"/>
  <sheetViews>
    <sheetView zoomScaleNormal="100" workbookViewId="0">
      <selection activeCell="E6" sqref="E6"/>
    </sheetView>
  </sheetViews>
  <sheetFormatPr defaultRowHeight="15" x14ac:dyDescent="0.25"/>
  <cols>
    <col min="1" max="1" width="3.58203125" customWidth="1"/>
    <col min="2" max="2" width="15" customWidth="1"/>
    <col min="3" max="3" width="14.25" customWidth="1"/>
    <col min="4" max="4" width="13.08203125" customWidth="1"/>
    <col min="5" max="5" width="10.6640625" customWidth="1"/>
    <col min="6" max="6" width="2.58203125" customWidth="1"/>
    <col min="8" max="8" width="31.33203125" customWidth="1"/>
    <col min="10" max="10" width="2.6640625" customWidth="1"/>
    <col min="11" max="11" width="7.9140625" customWidth="1"/>
  </cols>
  <sheetData>
    <row r="1" spans="2:12" ht="15.6" x14ac:dyDescent="0.3">
      <c r="B1" s="2" t="s">
        <v>605</v>
      </c>
      <c r="C1" s="260"/>
      <c r="D1" s="260"/>
      <c r="E1" s="260"/>
      <c r="F1" s="260"/>
    </row>
    <row r="2" spans="2:12" ht="16.2" thickBot="1" x14ac:dyDescent="0.35">
      <c r="B2" s="259" t="s">
        <v>603</v>
      </c>
      <c r="C2" s="1" t="s">
        <v>105</v>
      </c>
      <c r="D2" s="260"/>
      <c r="E2" s="260"/>
      <c r="F2" s="260"/>
      <c r="G2" s="679" t="s">
        <v>320</v>
      </c>
      <c r="H2" s="680"/>
      <c r="I2" s="680"/>
      <c r="J2" s="680"/>
      <c r="K2" s="680"/>
      <c r="L2" s="680"/>
    </row>
    <row r="3" spans="2:12" ht="27.6" x14ac:dyDescent="0.25">
      <c r="B3" s="1295">
        <v>0</v>
      </c>
      <c r="C3" s="1296">
        <v>572000</v>
      </c>
      <c r="D3" s="1297">
        <v>0</v>
      </c>
      <c r="E3" s="737">
        <v>0.125</v>
      </c>
      <c r="F3" s="260"/>
      <c r="G3" s="741" t="s">
        <v>321</v>
      </c>
      <c r="H3" s="742" t="s">
        <v>322</v>
      </c>
      <c r="I3" s="743" t="s">
        <v>323</v>
      </c>
      <c r="J3" s="744"/>
      <c r="K3" s="745" t="s">
        <v>324</v>
      </c>
      <c r="L3" s="746" t="s">
        <v>325</v>
      </c>
    </row>
    <row r="4" spans="2:12" x14ac:dyDescent="0.25">
      <c r="B4" s="1298">
        <v>572000</v>
      </c>
      <c r="C4" s="1299">
        <v>1357000</v>
      </c>
      <c r="D4" s="1300">
        <v>67800</v>
      </c>
      <c r="E4" s="738">
        <v>0.125</v>
      </c>
      <c r="F4" s="260"/>
      <c r="G4" s="1315" t="s">
        <v>326</v>
      </c>
      <c r="H4" s="1316" t="s">
        <v>327</v>
      </c>
      <c r="I4" s="1317">
        <v>0.05</v>
      </c>
      <c r="J4" s="1318" t="s">
        <v>19</v>
      </c>
      <c r="K4" s="1319">
        <v>1</v>
      </c>
      <c r="L4" s="1320">
        <v>0.05</v>
      </c>
    </row>
    <row r="5" spans="2:12" x14ac:dyDescent="0.25">
      <c r="B5" s="1298">
        <v>1357000</v>
      </c>
      <c r="C5" s="1299">
        <v>6678000</v>
      </c>
      <c r="D5" s="1300">
        <v>169600</v>
      </c>
      <c r="E5" s="738">
        <v>0.1</v>
      </c>
      <c r="F5" s="260"/>
      <c r="G5" s="1315" t="s">
        <v>328</v>
      </c>
      <c r="H5" s="1316" t="s">
        <v>329</v>
      </c>
      <c r="I5" s="1317">
        <f>IF('Input Data'!$F$32&lt;2,0,20%)</f>
        <v>0.2</v>
      </c>
      <c r="J5" s="1318" t="s">
        <v>19</v>
      </c>
      <c r="K5" s="1319">
        <f>IF('Input Data'!$F$32=2,'Input Data'!$D$33,1)</f>
        <v>1</v>
      </c>
      <c r="L5" s="1320">
        <f>I5*K5+L4</f>
        <v>0.25</v>
      </c>
    </row>
    <row r="6" spans="2:12" x14ac:dyDescent="0.25">
      <c r="B6" s="1298">
        <v>6678000</v>
      </c>
      <c r="C6" s="1299">
        <v>13621000</v>
      </c>
      <c r="D6" s="1300">
        <v>701700</v>
      </c>
      <c r="E6" s="738">
        <v>0.08</v>
      </c>
      <c r="F6" s="260"/>
      <c r="G6" s="1315" t="s">
        <v>330</v>
      </c>
      <c r="H6" s="1316" t="s">
        <v>616</v>
      </c>
      <c r="I6" s="1317">
        <f>IF('Input Data'!$F$32&lt;3,0,30%)</f>
        <v>0.3</v>
      </c>
      <c r="J6" s="1318" t="s">
        <v>19</v>
      </c>
      <c r="K6" s="1319">
        <f>IF('Input Data'!$F$32=3,'Input Data'!$D$33,1)</f>
        <v>1</v>
      </c>
      <c r="L6" s="1320">
        <f>I6*K6+L5</f>
        <v>0.55000000000000004</v>
      </c>
    </row>
    <row r="7" spans="2:12" ht="15.6" thickBot="1" x14ac:dyDescent="0.3">
      <c r="B7" s="1298">
        <v>13621000</v>
      </c>
      <c r="C7" s="1299">
        <v>33920000</v>
      </c>
      <c r="D7" s="1300">
        <v>1257200</v>
      </c>
      <c r="E7" s="738">
        <v>7.0000000000000007E-2</v>
      </c>
      <c r="F7" s="260"/>
      <c r="G7" s="1321" t="s">
        <v>617</v>
      </c>
      <c r="H7" s="1322" t="s">
        <v>615</v>
      </c>
      <c r="I7" s="1323">
        <f>IF('Input Data'!$F$32&lt;4,0,15%)</f>
        <v>0.15</v>
      </c>
      <c r="J7" s="1324" t="s">
        <v>19</v>
      </c>
      <c r="K7" s="1325">
        <f>IF('Input Data'!$F$32=4,'Input Data'!$D$33,1)</f>
        <v>1</v>
      </c>
      <c r="L7" s="1326">
        <f>I7*K7+L6</f>
        <v>0.70000000000000007</v>
      </c>
    </row>
    <row r="8" spans="2:12" x14ac:dyDescent="0.25">
      <c r="B8" s="1298">
        <v>33920000</v>
      </c>
      <c r="C8" s="1299">
        <v>67840000</v>
      </c>
      <c r="D8" s="1300">
        <v>2678100</v>
      </c>
      <c r="E8" s="738">
        <v>0.06</v>
      </c>
      <c r="F8" s="260"/>
      <c r="J8" s="747"/>
      <c r="K8" s="747"/>
      <c r="L8" s="747"/>
    </row>
    <row r="9" spans="2:12" x14ac:dyDescent="0.25">
      <c r="B9" s="1298">
        <v>67840000</v>
      </c>
      <c r="C9" s="1299">
        <v>408630000</v>
      </c>
      <c r="D9" s="1300">
        <v>4712800</v>
      </c>
      <c r="E9" s="738">
        <v>5.5E-2</v>
      </c>
      <c r="F9" s="260"/>
      <c r="G9" s="1333" t="s">
        <v>326</v>
      </c>
      <c r="H9" s="1329" t="s">
        <v>327</v>
      </c>
      <c r="I9" s="1330">
        <v>0.05</v>
      </c>
      <c r="J9" s="747"/>
      <c r="K9" s="747"/>
      <c r="L9" s="747"/>
    </row>
    <row r="10" spans="2:12" ht="15.75" customHeight="1" thickBot="1" x14ac:dyDescent="0.3">
      <c r="B10" s="1301">
        <v>408630000</v>
      </c>
      <c r="C10" s="1302">
        <v>100000000</v>
      </c>
      <c r="D10" s="1303">
        <v>23456700</v>
      </c>
      <c r="E10" s="739">
        <v>5.5E-2</v>
      </c>
      <c r="F10" s="260"/>
      <c r="G10" s="1333" t="s">
        <v>328</v>
      </c>
      <c r="H10" s="1329" t="s">
        <v>329</v>
      </c>
      <c r="I10" s="1330">
        <v>0.2</v>
      </c>
      <c r="J10" s="747"/>
      <c r="K10" s="747"/>
      <c r="L10" s="747"/>
    </row>
    <row r="11" spans="2:12" ht="16.5" customHeight="1" x14ac:dyDescent="0.25">
      <c r="B11" s="1304"/>
      <c r="C11" s="1304"/>
      <c r="D11" s="1304"/>
      <c r="F11" s="260"/>
      <c r="G11" s="1333" t="s">
        <v>330</v>
      </c>
      <c r="H11" s="1329" t="s">
        <v>614</v>
      </c>
      <c r="I11" s="1330">
        <v>0.3</v>
      </c>
      <c r="J11" s="747"/>
      <c r="K11" s="747"/>
      <c r="L11" s="747"/>
    </row>
    <row r="12" spans="2:12" ht="16.2" thickBot="1" x14ac:dyDescent="0.35">
      <c r="B12" s="1305" t="s">
        <v>604</v>
      </c>
      <c r="C12" s="1306" t="s">
        <v>343</v>
      </c>
      <c r="D12" s="1307"/>
      <c r="E12" s="740"/>
      <c r="F12" s="260"/>
      <c r="G12" s="1333" t="s">
        <v>617</v>
      </c>
      <c r="H12" s="1329" t="s">
        <v>615</v>
      </c>
      <c r="I12" s="1330">
        <v>0.15</v>
      </c>
      <c r="J12" s="747"/>
      <c r="K12" s="747"/>
      <c r="L12" s="747"/>
    </row>
    <row r="13" spans="2:12" x14ac:dyDescent="0.25">
      <c r="B13" s="1295">
        <v>0</v>
      </c>
      <c r="C13" s="1296">
        <v>572000</v>
      </c>
      <c r="D13" s="1297">
        <v>0</v>
      </c>
      <c r="E13" s="737">
        <v>0.15</v>
      </c>
      <c r="F13" s="260"/>
      <c r="G13" s="1334" t="s">
        <v>625</v>
      </c>
      <c r="H13" s="1331" t="s">
        <v>331</v>
      </c>
      <c r="I13" s="1332">
        <v>0.25</v>
      </c>
      <c r="J13" s="747"/>
      <c r="K13" s="747"/>
      <c r="L13" s="747"/>
    </row>
    <row r="14" spans="2:12" x14ac:dyDescent="0.25">
      <c r="B14" s="1298">
        <v>572000</v>
      </c>
      <c r="C14" s="1299">
        <v>1357000</v>
      </c>
      <c r="D14" s="1300">
        <v>81400</v>
      </c>
      <c r="E14" s="738">
        <v>0.15</v>
      </c>
      <c r="F14" s="260"/>
      <c r="G14" s="1335" t="s">
        <v>626</v>
      </c>
      <c r="H14" s="1314" t="s">
        <v>332</v>
      </c>
      <c r="I14" s="1327">
        <v>0.05</v>
      </c>
    </row>
    <row r="15" spans="2:12" x14ac:dyDescent="0.25">
      <c r="B15" s="1298">
        <v>1357000</v>
      </c>
      <c r="C15" s="1299">
        <v>6678000</v>
      </c>
      <c r="D15" s="1300">
        <v>203500</v>
      </c>
      <c r="E15" s="738">
        <v>0.125</v>
      </c>
      <c r="F15" s="260"/>
      <c r="I15" s="1328"/>
    </row>
    <row r="16" spans="2:12" x14ac:dyDescent="0.25">
      <c r="B16" s="1298">
        <v>6678000</v>
      </c>
      <c r="C16" s="1299">
        <v>13621000</v>
      </c>
      <c r="D16" s="1300">
        <v>868700</v>
      </c>
      <c r="E16" s="738">
        <v>0.105</v>
      </c>
      <c r="F16" s="260"/>
    </row>
    <row r="17" spans="2:6" x14ac:dyDescent="0.25">
      <c r="B17" s="1298">
        <v>13621000</v>
      </c>
      <c r="C17" s="1299">
        <v>33920000</v>
      </c>
      <c r="D17" s="1300">
        <v>1597700</v>
      </c>
      <c r="E17" s="738">
        <v>9.5000000000000001E-2</v>
      </c>
      <c r="F17" s="260"/>
    </row>
    <row r="18" spans="2:6" x14ac:dyDescent="0.25">
      <c r="B18" s="1298">
        <v>33920000</v>
      </c>
      <c r="C18" s="1299">
        <v>67840000</v>
      </c>
      <c r="D18" s="1300">
        <v>3526100</v>
      </c>
      <c r="E18" s="738">
        <v>0.09</v>
      </c>
      <c r="F18" s="260"/>
    </row>
    <row r="19" spans="2:6" x14ac:dyDescent="0.25">
      <c r="B19" s="1298">
        <v>67840000</v>
      </c>
      <c r="C19" s="1299">
        <v>408630000</v>
      </c>
      <c r="D19" s="1300">
        <v>6578900</v>
      </c>
      <c r="E19" s="738">
        <v>8.5000000000000006E-2</v>
      </c>
      <c r="F19" s="260"/>
    </row>
    <row r="20" spans="2:6" ht="15.6" thickBot="1" x14ac:dyDescent="0.3">
      <c r="B20" s="1301">
        <v>408630000</v>
      </c>
      <c r="C20" s="1302">
        <v>100000000</v>
      </c>
      <c r="D20" s="1303">
        <v>35546000</v>
      </c>
      <c r="E20" s="739">
        <v>8.5000000000000006E-2</v>
      </c>
      <c r="F20" s="260"/>
    </row>
  </sheetData>
  <sheetProtection algorithmName="SHA-512" hashValue="i3zN19mEQwBnVMey/LTZPMkUvwRMTQoW/l+HwFuoghLwS56JBE6slOWxKFSdMlKZCsjGCxEajbtJRFeXgj1l1w==" saltValue="kfl1hlGEPSyauuzrFWxNpA==" spinCount="100000" sheet="1" objects="1" scenarios="1" formatCells="0" formatColumns="0" formatRows="0"/>
  <phoneticPr fontId="33" type="noConversion"/>
  <pageMargins left="0.75" right="0.75" top="1" bottom="1" header="0.5" footer="0.5"/>
  <pageSetup paperSize="9" scale="8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4"/>
  </sheetPr>
  <dimension ref="A1:O43"/>
  <sheetViews>
    <sheetView zoomScaleNormal="100" workbookViewId="0">
      <selection activeCell="E12" sqref="E12"/>
    </sheetView>
  </sheetViews>
  <sheetFormatPr defaultRowHeight="15" x14ac:dyDescent="0.25"/>
  <cols>
    <col min="1" max="2" width="9.25" customWidth="1"/>
    <col min="3" max="3" width="5.08203125" customWidth="1"/>
    <col min="4" max="4" width="11.75" customWidth="1"/>
    <col min="5" max="5" width="11.6640625" customWidth="1"/>
    <col min="6" max="6" width="10" customWidth="1"/>
    <col min="7" max="7" width="12.75" customWidth="1"/>
    <col min="8" max="8" width="3.25" customWidth="1"/>
    <col min="9" max="9" width="9.4140625" customWidth="1"/>
    <col min="10" max="10" width="10.33203125" customWidth="1"/>
    <col min="11" max="11" width="4.6640625" customWidth="1"/>
    <col min="12" max="12" width="11.75" customWidth="1"/>
    <col min="13" max="13" width="11.58203125" customWidth="1"/>
    <col min="14" max="14" width="10.08203125" customWidth="1"/>
    <col min="15" max="15" width="11.08203125" customWidth="1"/>
  </cols>
  <sheetData>
    <row r="1" spans="1:15" ht="21.6" thickTop="1" x14ac:dyDescent="0.25">
      <c r="A1" s="162" t="s">
        <v>601</v>
      </c>
      <c r="B1" s="220"/>
      <c r="C1" s="220"/>
      <c r="D1" s="163"/>
      <c r="E1" s="164" t="s">
        <v>150</v>
      </c>
      <c r="F1" s="163"/>
      <c r="G1" s="163"/>
      <c r="H1" s="163"/>
      <c r="I1" s="163"/>
      <c r="J1" s="163"/>
      <c r="K1" s="163"/>
      <c r="L1" s="163"/>
      <c r="M1" s="1430" t="s">
        <v>640</v>
      </c>
      <c r="N1" s="1431" t="s">
        <v>641</v>
      </c>
      <c r="O1" s="1432">
        <f>IF('Input Data'!D28&lt;43191,14%,15%)</f>
        <v>0.15</v>
      </c>
    </row>
    <row r="2" spans="1:15" ht="15.6" x14ac:dyDescent="0.25">
      <c r="A2" s="2043" t="s">
        <v>142</v>
      </c>
      <c r="B2" s="2044"/>
      <c r="C2" s="2044"/>
      <c r="D2" s="2045"/>
      <c r="E2" s="1238">
        <f>'Input Data'!D29</f>
        <v>0</v>
      </c>
      <c r="F2" s="165" t="s">
        <v>204</v>
      </c>
      <c r="G2" s="1294">
        <f>'Input Data'!D7</f>
        <v>0</v>
      </c>
      <c r="H2" s="42"/>
      <c r="I2" s="2046" t="s">
        <v>90</v>
      </c>
      <c r="J2" s="2046"/>
      <c r="K2" s="2046"/>
      <c r="L2" s="2047"/>
      <c r="M2" s="166" t="str">
        <f>IF('Input Data'!D18="none","N","Y")</f>
        <v>Y</v>
      </c>
      <c r="N2" s="42"/>
      <c r="O2" s="43"/>
    </row>
    <row r="3" spans="1:15" ht="15.6" thickBot="1" x14ac:dyDescent="0.3">
      <c r="A3" s="167"/>
      <c r="B3" s="168"/>
      <c r="C3" s="168"/>
      <c r="D3" s="42"/>
      <c r="E3" s="42"/>
      <c r="F3" s="42"/>
      <c r="G3" s="42"/>
      <c r="H3" s="42"/>
      <c r="I3" s="168"/>
      <c r="J3" s="168"/>
      <c r="K3" s="168"/>
      <c r="L3" s="169"/>
      <c r="M3" s="42"/>
      <c r="N3" s="42"/>
      <c r="O3" s="170"/>
    </row>
    <row r="4" spans="1:15" ht="54" thickTop="1" thickBot="1" x14ac:dyDescent="0.3">
      <c r="A4" s="171" t="s">
        <v>600</v>
      </c>
      <c r="B4" s="221" t="s">
        <v>6</v>
      </c>
      <c r="C4" s="221" t="s">
        <v>642</v>
      </c>
      <c r="D4" s="553" t="s">
        <v>306</v>
      </c>
      <c r="E4" s="553" t="s">
        <v>307</v>
      </c>
      <c r="F4" s="172" t="s">
        <v>308</v>
      </c>
      <c r="G4" s="554" t="s">
        <v>309</v>
      </c>
      <c r="H4" s="22"/>
      <c r="I4" s="171" t="s">
        <v>600</v>
      </c>
      <c r="J4" s="221" t="s">
        <v>6</v>
      </c>
      <c r="K4" s="221" t="s">
        <v>642</v>
      </c>
      <c r="L4" s="553" t="s">
        <v>306</v>
      </c>
      <c r="M4" s="553" t="s">
        <v>307</v>
      </c>
      <c r="N4" s="172" t="s">
        <v>308</v>
      </c>
      <c r="O4" s="554" t="s">
        <v>309</v>
      </c>
    </row>
    <row r="5" spans="1:15" ht="27.6" thickTop="1" thickBot="1" x14ac:dyDescent="0.3">
      <c r="A5" s="173" t="s">
        <v>139</v>
      </c>
      <c r="B5" s="224"/>
      <c r="C5" s="1433">
        <f>IF(B5&lt;43191,1.14,1.15)</f>
        <v>1.1399999999999999</v>
      </c>
      <c r="D5" s="633"/>
      <c r="E5" s="634">
        <f>IF($M$2="Y",((D5-F5)/C5),D5)</f>
        <v>0</v>
      </c>
      <c r="F5" s="633"/>
      <c r="G5" s="635">
        <f>SUM(E5:F5)</f>
        <v>0</v>
      </c>
      <c r="H5" s="42"/>
      <c r="I5" s="174" t="s">
        <v>140</v>
      </c>
      <c r="J5" s="223"/>
      <c r="K5" s="223"/>
      <c r="L5" s="636">
        <f>D42</f>
        <v>0</v>
      </c>
      <c r="M5" s="637">
        <f>E42</f>
        <v>0</v>
      </c>
      <c r="N5" s="636">
        <f>F42</f>
        <v>0</v>
      </c>
      <c r="O5" s="638">
        <f>SUM(M5:N5)</f>
        <v>0</v>
      </c>
    </row>
    <row r="6" spans="1:15" x14ac:dyDescent="0.25">
      <c r="A6" s="175">
        <f t="shared" ref="A6:A41" si="0">A5+1</f>
        <v>2</v>
      </c>
      <c r="B6" s="224"/>
      <c r="C6" s="1434">
        <f>IF(B6&lt;43191,1.14,1.15)</f>
        <v>1.1399999999999999</v>
      </c>
      <c r="D6" s="633"/>
      <c r="E6" s="634">
        <f t="shared" ref="E6:E41" si="1">IF($M$2="Y",((D6-F6)/C6),D6)</f>
        <v>0</v>
      </c>
      <c r="F6" s="633">
        <v>0</v>
      </c>
      <c r="G6" s="635">
        <f t="shared" ref="G6:G41" si="2">SUM(E6:F6)</f>
        <v>0</v>
      </c>
      <c r="H6" s="42"/>
      <c r="I6" s="176" t="s">
        <v>141</v>
      </c>
      <c r="J6" s="224"/>
      <c r="K6" s="1434">
        <f>IF(J6&lt;43191,1.14,1.15)</f>
        <v>1.1399999999999999</v>
      </c>
      <c r="L6" s="639"/>
      <c r="M6" s="634">
        <f>IF($M$2="Y",((L6-N6)/K6),L6)</f>
        <v>0</v>
      </c>
      <c r="N6" s="639">
        <v>0</v>
      </c>
      <c r="O6" s="640">
        <f t="shared" ref="O6:O41" si="3">SUM(M6:N6)</f>
        <v>0</v>
      </c>
    </row>
    <row r="7" spans="1:15" x14ac:dyDescent="0.25">
      <c r="A7" s="175">
        <f t="shared" si="0"/>
        <v>3</v>
      </c>
      <c r="B7" s="225"/>
      <c r="C7" s="1434">
        <f t="shared" ref="C7:C41" si="4">IF(B7&lt;43191,1.14,1.15)</f>
        <v>1.1399999999999999</v>
      </c>
      <c r="D7" s="633">
        <v>0</v>
      </c>
      <c r="E7" s="634">
        <f t="shared" si="1"/>
        <v>0</v>
      </c>
      <c r="F7" s="633">
        <v>0</v>
      </c>
      <c r="G7" s="635">
        <f t="shared" si="2"/>
        <v>0</v>
      </c>
      <c r="H7" s="42"/>
      <c r="I7" s="175">
        <f t="shared" ref="I7:I41" si="5">I6+1</f>
        <v>39</v>
      </c>
      <c r="J7" s="225"/>
      <c r="K7" s="1434">
        <f t="shared" ref="K7:K41" si="6">IF(J7&lt;43191,1.14,1.15)</f>
        <v>1.1399999999999999</v>
      </c>
      <c r="L7" s="633">
        <v>0</v>
      </c>
      <c r="M7" s="634">
        <f t="shared" ref="M7:M41" si="7">IF($M$2="Y",((L7-N7)/K7),L7)</f>
        <v>0</v>
      </c>
      <c r="N7" s="633">
        <v>0</v>
      </c>
      <c r="O7" s="635">
        <f t="shared" si="3"/>
        <v>0</v>
      </c>
    </row>
    <row r="8" spans="1:15" x14ac:dyDescent="0.25">
      <c r="A8" s="175">
        <f t="shared" si="0"/>
        <v>4</v>
      </c>
      <c r="B8" s="225"/>
      <c r="C8" s="1434">
        <f t="shared" si="4"/>
        <v>1.1399999999999999</v>
      </c>
      <c r="D8" s="633">
        <v>0</v>
      </c>
      <c r="E8" s="634">
        <f t="shared" si="1"/>
        <v>0</v>
      </c>
      <c r="F8" s="633">
        <v>0</v>
      </c>
      <c r="G8" s="635">
        <f t="shared" si="2"/>
        <v>0</v>
      </c>
      <c r="H8" s="42"/>
      <c r="I8" s="175">
        <f t="shared" si="5"/>
        <v>40</v>
      </c>
      <c r="J8" s="225"/>
      <c r="K8" s="1434">
        <f t="shared" si="6"/>
        <v>1.1399999999999999</v>
      </c>
      <c r="L8" s="633">
        <v>0</v>
      </c>
      <c r="M8" s="634">
        <f t="shared" si="7"/>
        <v>0</v>
      </c>
      <c r="N8" s="633">
        <v>0</v>
      </c>
      <c r="O8" s="635">
        <f t="shared" si="3"/>
        <v>0</v>
      </c>
    </row>
    <row r="9" spans="1:15" x14ac:dyDescent="0.25">
      <c r="A9" s="175">
        <f t="shared" si="0"/>
        <v>5</v>
      </c>
      <c r="B9" s="225"/>
      <c r="C9" s="1434">
        <f t="shared" si="4"/>
        <v>1.1399999999999999</v>
      </c>
      <c r="D9" s="633">
        <v>0</v>
      </c>
      <c r="E9" s="634">
        <f t="shared" si="1"/>
        <v>0</v>
      </c>
      <c r="F9" s="633">
        <v>0</v>
      </c>
      <c r="G9" s="635">
        <f t="shared" si="2"/>
        <v>0</v>
      </c>
      <c r="H9" s="42"/>
      <c r="I9" s="175">
        <f t="shared" si="5"/>
        <v>41</v>
      </c>
      <c r="J9" s="225"/>
      <c r="K9" s="1434">
        <f t="shared" si="6"/>
        <v>1.1399999999999999</v>
      </c>
      <c r="L9" s="633">
        <v>0</v>
      </c>
      <c r="M9" s="634">
        <f t="shared" si="7"/>
        <v>0</v>
      </c>
      <c r="N9" s="633">
        <v>0</v>
      </c>
      <c r="O9" s="635">
        <f t="shared" si="3"/>
        <v>0</v>
      </c>
    </row>
    <row r="10" spans="1:15" x14ac:dyDescent="0.25">
      <c r="A10" s="175">
        <f t="shared" si="0"/>
        <v>6</v>
      </c>
      <c r="B10" s="225"/>
      <c r="C10" s="1434">
        <f t="shared" si="4"/>
        <v>1.1399999999999999</v>
      </c>
      <c r="D10" s="633">
        <v>0</v>
      </c>
      <c r="E10" s="634">
        <f t="shared" si="1"/>
        <v>0</v>
      </c>
      <c r="F10" s="633">
        <v>0</v>
      </c>
      <c r="G10" s="635">
        <f t="shared" si="2"/>
        <v>0</v>
      </c>
      <c r="H10" s="42"/>
      <c r="I10" s="175">
        <f t="shared" si="5"/>
        <v>42</v>
      </c>
      <c r="J10" s="225"/>
      <c r="K10" s="1434">
        <f t="shared" si="6"/>
        <v>1.1399999999999999</v>
      </c>
      <c r="L10" s="633">
        <v>0</v>
      </c>
      <c r="M10" s="634">
        <f t="shared" si="7"/>
        <v>0</v>
      </c>
      <c r="N10" s="633">
        <v>0</v>
      </c>
      <c r="O10" s="635">
        <f t="shared" si="3"/>
        <v>0</v>
      </c>
    </row>
    <row r="11" spans="1:15" x14ac:dyDescent="0.25">
      <c r="A11" s="175">
        <f t="shared" si="0"/>
        <v>7</v>
      </c>
      <c r="B11" s="225"/>
      <c r="C11" s="1434">
        <f t="shared" si="4"/>
        <v>1.1399999999999999</v>
      </c>
      <c r="D11" s="633"/>
      <c r="E11" s="634">
        <f t="shared" si="1"/>
        <v>0</v>
      </c>
      <c r="F11" s="633">
        <v>0</v>
      </c>
      <c r="G11" s="635">
        <f t="shared" si="2"/>
        <v>0</v>
      </c>
      <c r="H11" s="42"/>
      <c r="I11" s="175">
        <f t="shared" si="5"/>
        <v>43</v>
      </c>
      <c r="J11" s="225"/>
      <c r="K11" s="1434">
        <f t="shared" si="6"/>
        <v>1.1399999999999999</v>
      </c>
      <c r="L11" s="633">
        <v>0</v>
      </c>
      <c r="M11" s="634">
        <f t="shared" si="7"/>
        <v>0</v>
      </c>
      <c r="N11" s="633">
        <v>0</v>
      </c>
      <c r="O11" s="635">
        <f t="shared" si="3"/>
        <v>0</v>
      </c>
    </row>
    <row r="12" spans="1:15" x14ac:dyDescent="0.25">
      <c r="A12" s="175">
        <f t="shared" si="0"/>
        <v>8</v>
      </c>
      <c r="B12" s="225"/>
      <c r="C12" s="1434">
        <f t="shared" si="4"/>
        <v>1.1399999999999999</v>
      </c>
      <c r="D12" s="633">
        <v>0</v>
      </c>
      <c r="E12" s="634">
        <f t="shared" si="1"/>
        <v>0</v>
      </c>
      <c r="F12" s="633">
        <v>0</v>
      </c>
      <c r="G12" s="635">
        <f t="shared" si="2"/>
        <v>0</v>
      </c>
      <c r="H12" s="42"/>
      <c r="I12" s="175">
        <f t="shared" si="5"/>
        <v>44</v>
      </c>
      <c r="J12" s="225"/>
      <c r="K12" s="1434">
        <f t="shared" si="6"/>
        <v>1.1399999999999999</v>
      </c>
      <c r="L12" s="633">
        <v>0</v>
      </c>
      <c r="M12" s="634">
        <f t="shared" si="7"/>
        <v>0</v>
      </c>
      <c r="N12" s="633">
        <v>0</v>
      </c>
      <c r="O12" s="635">
        <f t="shared" si="3"/>
        <v>0</v>
      </c>
    </row>
    <row r="13" spans="1:15" x14ac:dyDescent="0.25">
      <c r="A13" s="175">
        <f t="shared" si="0"/>
        <v>9</v>
      </c>
      <c r="B13" s="225"/>
      <c r="C13" s="1434">
        <f t="shared" si="4"/>
        <v>1.1399999999999999</v>
      </c>
      <c r="D13" s="633">
        <v>0</v>
      </c>
      <c r="E13" s="634">
        <f t="shared" si="1"/>
        <v>0</v>
      </c>
      <c r="F13" s="633">
        <v>0</v>
      </c>
      <c r="G13" s="635">
        <f t="shared" si="2"/>
        <v>0</v>
      </c>
      <c r="H13" s="42"/>
      <c r="I13" s="175">
        <f t="shared" si="5"/>
        <v>45</v>
      </c>
      <c r="J13" s="225"/>
      <c r="K13" s="1434">
        <f t="shared" si="6"/>
        <v>1.1399999999999999</v>
      </c>
      <c r="L13" s="633">
        <v>0</v>
      </c>
      <c r="M13" s="634">
        <f t="shared" si="7"/>
        <v>0</v>
      </c>
      <c r="N13" s="633">
        <v>0</v>
      </c>
      <c r="O13" s="635">
        <f t="shared" si="3"/>
        <v>0</v>
      </c>
    </row>
    <row r="14" spans="1:15" x14ac:dyDescent="0.25">
      <c r="A14" s="175">
        <f t="shared" si="0"/>
        <v>10</v>
      </c>
      <c r="B14" s="225"/>
      <c r="C14" s="1434">
        <f t="shared" si="4"/>
        <v>1.1399999999999999</v>
      </c>
      <c r="D14" s="633">
        <v>0</v>
      </c>
      <c r="E14" s="634">
        <f t="shared" si="1"/>
        <v>0</v>
      </c>
      <c r="F14" s="633">
        <v>0</v>
      </c>
      <c r="G14" s="635">
        <f t="shared" si="2"/>
        <v>0</v>
      </c>
      <c r="H14" s="42"/>
      <c r="I14" s="175">
        <f t="shared" si="5"/>
        <v>46</v>
      </c>
      <c r="J14" s="225"/>
      <c r="K14" s="1434">
        <f t="shared" si="6"/>
        <v>1.1399999999999999</v>
      </c>
      <c r="L14" s="633">
        <v>0</v>
      </c>
      <c r="M14" s="634">
        <f t="shared" si="7"/>
        <v>0</v>
      </c>
      <c r="N14" s="633">
        <v>0</v>
      </c>
      <c r="O14" s="635">
        <f t="shared" si="3"/>
        <v>0</v>
      </c>
    </row>
    <row r="15" spans="1:15" x14ac:dyDescent="0.25">
      <c r="A15" s="175">
        <f t="shared" si="0"/>
        <v>11</v>
      </c>
      <c r="B15" s="225"/>
      <c r="C15" s="1434">
        <f t="shared" si="4"/>
        <v>1.1399999999999999</v>
      </c>
      <c r="D15" s="633">
        <v>0</v>
      </c>
      <c r="E15" s="634">
        <f t="shared" si="1"/>
        <v>0</v>
      </c>
      <c r="F15" s="633">
        <v>0</v>
      </c>
      <c r="G15" s="635">
        <f t="shared" si="2"/>
        <v>0</v>
      </c>
      <c r="H15" s="42"/>
      <c r="I15" s="175">
        <f t="shared" si="5"/>
        <v>47</v>
      </c>
      <c r="J15" s="225"/>
      <c r="K15" s="1434">
        <f t="shared" si="6"/>
        <v>1.1399999999999999</v>
      </c>
      <c r="L15" s="633">
        <v>0</v>
      </c>
      <c r="M15" s="634">
        <f t="shared" si="7"/>
        <v>0</v>
      </c>
      <c r="N15" s="633">
        <v>0</v>
      </c>
      <c r="O15" s="635">
        <f t="shared" si="3"/>
        <v>0</v>
      </c>
    </row>
    <row r="16" spans="1:15" x14ac:dyDescent="0.25">
      <c r="A16" s="175">
        <f t="shared" si="0"/>
        <v>12</v>
      </c>
      <c r="B16" s="225"/>
      <c r="C16" s="1434">
        <f t="shared" si="4"/>
        <v>1.1399999999999999</v>
      </c>
      <c r="D16" s="633">
        <v>0</v>
      </c>
      <c r="E16" s="634">
        <f t="shared" si="1"/>
        <v>0</v>
      </c>
      <c r="F16" s="633">
        <v>0</v>
      </c>
      <c r="G16" s="635">
        <f t="shared" si="2"/>
        <v>0</v>
      </c>
      <c r="H16" s="42"/>
      <c r="I16" s="175">
        <f t="shared" si="5"/>
        <v>48</v>
      </c>
      <c r="J16" s="225"/>
      <c r="K16" s="1434">
        <f t="shared" si="6"/>
        <v>1.1399999999999999</v>
      </c>
      <c r="L16" s="633">
        <v>0</v>
      </c>
      <c r="M16" s="634">
        <f t="shared" si="7"/>
        <v>0</v>
      </c>
      <c r="N16" s="633">
        <v>0</v>
      </c>
      <c r="O16" s="635">
        <f t="shared" si="3"/>
        <v>0</v>
      </c>
    </row>
    <row r="17" spans="1:15" x14ac:dyDescent="0.25">
      <c r="A17" s="175">
        <f t="shared" si="0"/>
        <v>13</v>
      </c>
      <c r="B17" s="225"/>
      <c r="C17" s="1434">
        <f t="shared" si="4"/>
        <v>1.1399999999999999</v>
      </c>
      <c r="D17" s="633">
        <v>0</v>
      </c>
      <c r="E17" s="634">
        <f t="shared" si="1"/>
        <v>0</v>
      </c>
      <c r="F17" s="633">
        <v>0</v>
      </c>
      <c r="G17" s="635">
        <f t="shared" si="2"/>
        <v>0</v>
      </c>
      <c r="H17" s="42"/>
      <c r="I17" s="175">
        <f t="shared" si="5"/>
        <v>49</v>
      </c>
      <c r="J17" s="225"/>
      <c r="K17" s="1434">
        <f t="shared" si="6"/>
        <v>1.1399999999999999</v>
      </c>
      <c r="L17" s="633">
        <v>0</v>
      </c>
      <c r="M17" s="634">
        <f t="shared" si="7"/>
        <v>0</v>
      </c>
      <c r="N17" s="633">
        <v>0</v>
      </c>
      <c r="O17" s="635">
        <f t="shared" si="3"/>
        <v>0</v>
      </c>
    </row>
    <row r="18" spans="1:15" x14ac:dyDescent="0.25">
      <c r="A18" s="175">
        <f t="shared" si="0"/>
        <v>14</v>
      </c>
      <c r="B18" s="225"/>
      <c r="C18" s="1434">
        <f t="shared" si="4"/>
        <v>1.1399999999999999</v>
      </c>
      <c r="D18" s="633">
        <v>0</v>
      </c>
      <c r="E18" s="634">
        <f t="shared" si="1"/>
        <v>0</v>
      </c>
      <c r="F18" s="633">
        <v>0</v>
      </c>
      <c r="G18" s="635">
        <f t="shared" si="2"/>
        <v>0</v>
      </c>
      <c r="H18" s="42"/>
      <c r="I18" s="175">
        <f t="shared" si="5"/>
        <v>50</v>
      </c>
      <c r="J18" s="225"/>
      <c r="K18" s="1434">
        <f t="shared" si="6"/>
        <v>1.1399999999999999</v>
      </c>
      <c r="L18" s="633">
        <v>0</v>
      </c>
      <c r="M18" s="634">
        <f t="shared" si="7"/>
        <v>0</v>
      </c>
      <c r="N18" s="633">
        <v>0</v>
      </c>
      <c r="O18" s="635">
        <f t="shared" si="3"/>
        <v>0</v>
      </c>
    </row>
    <row r="19" spans="1:15" x14ac:dyDescent="0.25">
      <c r="A19" s="175">
        <f t="shared" si="0"/>
        <v>15</v>
      </c>
      <c r="B19" s="225"/>
      <c r="C19" s="1434">
        <f t="shared" si="4"/>
        <v>1.1399999999999999</v>
      </c>
      <c r="D19" s="633">
        <v>0</v>
      </c>
      <c r="E19" s="634">
        <f t="shared" si="1"/>
        <v>0</v>
      </c>
      <c r="F19" s="633">
        <v>0</v>
      </c>
      <c r="G19" s="635">
        <f t="shared" si="2"/>
        <v>0</v>
      </c>
      <c r="H19" s="42"/>
      <c r="I19" s="175">
        <f t="shared" si="5"/>
        <v>51</v>
      </c>
      <c r="J19" s="225"/>
      <c r="K19" s="1434">
        <f t="shared" si="6"/>
        <v>1.1399999999999999</v>
      </c>
      <c r="L19" s="633">
        <v>0</v>
      </c>
      <c r="M19" s="634">
        <f t="shared" si="7"/>
        <v>0</v>
      </c>
      <c r="N19" s="633">
        <v>0</v>
      </c>
      <c r="O19" s="635">
        <f t="shared" si="3"/>
        <v>0</v>
      </c>
    </row>
    <row r="20" spans="1:15" x14ac:dyDescent="0.25">
      <c r="A20" s="175">
        <f t="shared" si="0"/>
        <v>16</v>
      </c>
      <c r="B20" s="225"/>
      <c r="C20" s="1434">
        <f t="shared" si="4"/>
        <v>1.1399999999999999</v>
      </c>
      <c r="D20" s="633">
        <v>0</v>
      </c>
      <c r="E20" s="634">
        <f t="shared" si="1"/>
        <v>0</v>
      </c>
      <c r="F20" s="633">
        <v>0</v>
      </c>
      <c r="G20" s="635">
        <f t="shared" si="2"/>
        <v>0</v>
      </c>
      <c r="H20" s="42"/>
      <c r="I20" s="175">
        <f t="shared" si="5"/>
        <v>52</v>
      </c>
      <c r="J20" s="225"/>
      <c r="K20" s="1434">
        <f t="shared" si="6"/>
        <v>1.1399999999999999</v>
      </c>
      <c r="L20" s="633">
        <v>0</v>
      </c>
      <c r="M20" s="634">
        <f t="shared" si="7"/>
        <v>0</v>
      </c>
      <c r="N20" s="633">
        <v>0</v>
      </c>
      <c r="O20" s="635">
        <f t="shared" si="3"/>
        <v>0</v>
      </c>
    </row>
    <row r="21" spans="1:15" x14ac:dyDescent="0.25">
      <c r="A21" s="175">
        <f t="shared" si="0"/>
        <v>17</v>
      </c>
      <c r="B21" s="225"/>
      <c r="C21" s="1434">
        <f t="shared" si="4"/>
        <v>1.1399999999999999</v>
      </c>
      <c r="D21" s="633">
        <v>0</v>
      </c>
      <c r="E21" s="634">
        <f t="shared" si="1"/>
        <v>0</v>
      </c>
      <c r="F21" s="633">
        <v>0</v>
      </c>
      <c r="G21" s="635">
        <f t="shared" si="2"/>
        <v>0</v>
      </c>
      <c r="H21" s="177"/>
      <c r="I21" s="175">
        <f t="shared" si="5"/>
        <v>53</v>
      </c>
      <c r="J21" s="224"/>
      <c r="K21" s="1434">
        <f t="shared" si="6"/>
        <v>1.1399999999999999</v>
      </c>
      <c r="L21" s="633"/>
      <c r="M21" s="634">
        <f t="shared" si="7"/>
        <v>0</v>
      </c>
      <c r="N21" s="633">
        <v>0</v>
      </c>
      <c r="O21" s="635">
        <f t="shared" si="3"/>
        <v>0</v>
      </c>
    </row>
    <row r="22" spans="1:15" x14ac:dyDescent="0.25">
      <c r="A22" s="175">
        <f t="shared" si="0"/>
        <v>18</v>
      </c>
      <c r="B22" s="225"/>
      <c r="C22" s="1434">
        <f t="shared" si="4"/>
        <v>1.1399999999999999</v>
      </c>
      <c r="D22" s="633">
        <v>0</v>
      </c>
      <c r="E22" s="634">
        <f t="shared" si="1"/>
        <v>0</v>
      </c>
      <c r="F22" s="633">
        <v>0</v>
      </c>
      <c r="G22" s="635">
        <f t="shared" si="2"/>
        <v>0</v>
      </c>
      <c r="H22" s="177"/>
      <c r="I22" s="175">
        <f t="shared" si="5"/>
        <v>54</v>
      </c>
      <c r="J22" s="225"/>
      <c r="K22" s="1434">
        <f t="shared" si="6"/>
        <v>1.1399999999999999</v>
      </c>
      <c r="L22" s="633">
        <v>0</v>
      </c>
      <c r="M22" s="634">
        <f t="shared" si="7"/>
        <v>0</v>
      </c>
      <c r="N22" s="633">
        <v>0</v>
      </c>
      <c r="O22" s="635">
        <f t="shared" si="3"/>
        <v>0</v>
      </c>
    </row>
    <row r="23" spans="1:15" x14ac:dyDescent="0.25">
      <c r="A23" s="175">
        <f t="shared" si="0"/>
        <v>19</v>
      </c>
      <c r="B23" s="225"/>
      <c r="C23" s="1434">
        <f t="shared" si="4"/>
        <v>1.1399999999999999</v>
      </c>
      <c r="D23" s="633">
        <v>0</v>
      </c>
      <c r="E23" s="634">
        <f t="shared" si="1"/>
        <v>0</v>
      </c>
      <c r="F23" s="633">
        <v>0</v>
      </c>
      <c r="G23" s="635">
        <f t="shared" si="2"/>
        <v>0</v>
      </c>
      <c r="H23" s="177"/>
      <c r="I23" s="175">
        <f t="shared" si="5"/>
        <v>55</v>
      </c>
      <c r="J23" s="225"/>
      <c r="K23" s="1434">
        <f t="shared" si="6"/>
        <v>1.1399999999999999</v>
      </c>
      <c r="L23" s="633">
        <v>0</v>
      </c>
      <c r="M23" s="634">
        <f t="shared" si="7"/>
        <v>0</v>
      </c>
      <c r="N23" s="633">
        <v>0</v>
      </c>
      <c r="O23" s="635">
        <f t="shared" si="3"/>
        <v>0</v>
      </c>
    </row>
    <row r="24" spans="1:15" x14ac:dyDescent="0.25">
      <c r="A24" s="175">
        <f t="shared" si="0"/>
        <v>20</v>
      </c>
      <c r="B24" s="225"/>
      <c r="C24" s="1434">
        <f t="shared" si="4"/>
        <v>1.1399999999999999</v>
      </c>
      <c r="D24" s="633">
        <v>0</v>
      </c>
      <c r="E24" s="634">
        <f t="shared" si="1"/>
        <v>0</v>
      </c>
      <c r="F24" s="633">
        <v>0</v>
      </c>
      <c r="G24" s="635">
        <f t="shared" si="2"/>
        <v>0</v>
      </c>
      <c r="H24" s="42"/>
      <c r="I24" s="175">
        <f t="shared" si="5"/>
        <v>56</v>
      </c>
      <c r="J24" s="225"/>
      <c r="K24" s="1434">
        <f t="shared" si="6"/>
        <v>1.1399999999999999</v>
      </c>
      <c r="L24" s="633">
        <v>0</v>
      </c>
      <c r="M24" s="634">
        <f t="shared" si="7"/>
        <v>0</v>
      </c>
      <c r="N24" s="633">
        <v>0</v>
      </c>
      <c r="O24" s="635">
        <f t="shared" si="3"/>
        <v>0</v>
      </c>
    </row>
    <row r="25" spans="1:15" x14ac:dyDescent="0.25">
      <c r="A25" s="175">
        <f t="shared" si="0"/>
        <v>21</v>
      </c>
      <c r="B25" s="224"/>
      <c r="C25" s="1434">
        <f t="shared" si="4"/>
        <v>1.1399999999999999</v>
      </c>
      <c r="D25" s="633"/>
      <c r="E25" s="634">
        <f t="shared" si="1"/>
        <v>0</v>
      </c>
      <c r="F25" s="633">
        <v>0</v>
      </c>
      <c r="G25" s="635">
        <f t="shared" si="2"/>
        <v>0</v>
      </c>
      <c r="H25" s="42"/>
      <c r="I25" s="175">
        <f t="shared" si="5"/>
        <v>57</v>
      </c>
      <c r="J25" s="225"/>
      <c r="K25" s="1434">
        <f t="shared" si="6"/>
        <v>1.1399999999999999</v>
      </c>
      <c r="L25" s="633">
        <v>0</v>
      </c>
      <c r="M25" s="634">
        <f t="shared" si="7"/>
        <v>0</v>
      </c>
      <c r="N25" s="633">
        <v>0</v>
      </c>
      <c r="O25" s="635">
        <f t="shared" si="3"/>
        <v>0</v>
      </c>
    </row>
    <row r="26" spans="1:15" x14ac:dyDescent="0.25">
      <c r="A26" s="175">
        <f t="shared" si="0"/>
        <v>22</v>
      </c>
      <c r="B26" s="225"/>
      <c r="C26" s="1434">
        <f t="shared" si="4"/>
        <v>1.1399999999999999</v>
      </c>
      <c r="D26" s="633">
        <v>0</v>
      </c>
      <c r="E26" s="634">
        <f t="shared" si="1"/>
        <v>0</v>
      </c>
      <c r="F26" s="633">
        <v>0</v>
      </c>
      <c r="G26" s="635">
        <f t="shared" si="2"/>
        <v>0</v>
      </c>
      <c r="H26" s="42"/>
      <c r="I26" s="175">
        <f t="shared" si="5"/>
        <v>58</v>
      </c>
      <c r="J26" s="225"/>
      <c r="K26" s="1434">
        <f t="shared" si="6"/>
        <v>1.1399999999999999</v>
      </c>
      <c r="L26" s="633">
        <v>0</v>
      </c>
      <c r="M26" s="634">
        <f t="shared" si="7"/>
        <v>0</v>
      </c>
      <c r="N26" s="633">
        <v>0</v>
      </c>
      <c r="O26" s="635">
        <f t="shared" si="3"/>
        <v>0</v>
      </c>
    </row>
    <row r="27" spans="1:15" x14ac:dyDescent="0.25">
      <c r="A27" s="175">
        <f t="shared" si="0"/>
        <v>23</v>
      </c>
      <c r="B27" s="225"/>
      <c r="C27" s="1434">
        <f t="shared" si="4"/>
        <v>1.1399999999999999</v>
      </c>
      <c r="D27" s="633">
        <v>0</v>
      </c>
      <c r="E27" s="634">
        <f t="shared" si="1"/>
        <v>0</v>
      </c>
      <c r="F27" s="633">
        <v>0</v>
      </c>
      <c r="G27" s="635">
        <f t="shared" si="2"/>
        <v>0</v>
      </c>
      <c r="H27" s="42"/>
      <c r="I27" s="175">
        <f t="shared" si="5"/>
        <v>59</v>
      </c>
      <c r="J27" s="225"/>
      <c r="K27" s="1434">
        <f t="shared" si="6"/>
        <v>1.1399999999999999</v>
      </c>
      <c r="L27" s="633">
        <v>0</v>
      </c>
      <c r="M27" s="634">
        <f t="shared" si="7"/>
        <v>0</v>
      </c>
      <c r="N27" s="633">
        <v>0</v>
      </c>
      <c r="O27" s="635">
        <f t="shared" si="3"/>
        <v>0</v>
      </c>
    </row>
    <row r="28" spans="1:15" x14ac:dyDescent="0.25">
      <c r="A28" s="175">
        <f t="shared" si="0"/>
        <v>24</v>
      </c>
      <c r="B28" s="225"/>
      <c r="C28" s="1434">
        <f t="shared" si="4"/>
        <v>1.1399999999999999</v>
      </c>
      <c r="D28" s="633">
        <v>0</v>
      </c>
      <c r="E28" s="634">
        <f t="shared" si="1"/>
        <v>0</v>
      </c>
      <c r="F28" s="633">
        <v>0</v>
      </c>
      <c r="G28" s="635">
        <f t="shared" si="2"/>
        <v>0</v>
      </c>
      <c r="H28" s="42"/>
      <c r="I28" s="175">
        <f t="shared" si="5"/>
        <v>60</v>
      </c>
      <c r="J28" s="225"/>
      <c r="K28" s="1434">
        <f t="shared" si="6"/>
        <v>1.1399999999999999</v>
      </c>
      <c r="L28" s="633">
        <v>0</v>
      </c>
      <c r="M28" s="634">
        <f t="shared" si="7"/>
        <v>0</v>
      </c>
      <c r="N28" s="633">
        <v>0</v>
      </c>
      <c r="O28" s="635">
        <f t="shared" si="3"/>
        <v>0</v>
      </c>
    </row>
    <row r="29" spans="1:15" x14ac:dyDescent="0.25">
      <c r="A29" s="175">
        <f t="shared" si="0"/>
        <v>25</v>
      </c>
      <c r="B29" s="225"/>
      <c r="C29" s="1434">
        <f t="shared" si="4"/>
        <v>1.1399999999999999</v>
      </c>
      <c r="D29" s="633">
        <v>0</v>
      </c>
      <c r="E29" s="634">
        <f t="shared" si="1"/>
        <v>0</v>
      </c>
      <c r="F29" s="633">
        <v>0</v>
      </c>
      <c r="G29" s="635">
        <f t="shared" si="2"/>
        <v>0</v>
      </c>
      <c r="H29" s="42"/>
      <c r="I29" s="175">
        <f t="shared" si="5"/>
        <v>61</v>
      </c>
      <c r="J29" s="225"/>
      <c r="K29" s="1434">
        <f t="shared" si="6"/>
        <v>1.1399999999999999</v>
      </c>
      <c r="L29" s="633">
        <v>0</v>
      </c>
      <c r="M29" s="634">
        <f t="shared" si="7"/>
        <v>0</v>
      </c>
      <c r="N29" s="633">
        <v>0</v>
      </c>
      <c r="O29" s="635">
        <f t="shared" si="3"/>
        <v>0</v>
      </c>
    </row>
    <row r="30" spans="1:15" x14ac:dyDescent="0.25">
      <c r="A30" s="175">
        <f t="shared" si="0"/>
        <v>26</v>
      </c>
      <c r="B30" s="225"/>
      <c r="C30" s="1434">
        <f t="shared" si="4"/>
        <v>1.1399999999999999</v>
      </c>
      <c r="D30" s="633">
        <v>0</v>
      </c>
      <c r="E30" s="634">
        <f t="shared" si="1"/>
        <v>0</v>
      </c>
      <c r="F30" s="633">
        <v>0</v>
      </c>
      <c r="G30" s="635">
        <f t="shared" si="2"/>
        <v>0</v>
      </c>
      <c r="H30" s="42"/>
      <c r="I30" s="175">
        <f t="shared" si="5"/>
        <v>62</v>
      </c>
      <c r="J30" s="225"/>
      <c r="K30" s="1434">
        <f t="shared" si="6"/>
        <v>1.1399999999999999</v>
      </c>
      <c r="L30" s="633">
        <v>0</v>
      </c>
      <c r="M30" s="634">
        <f t="shared" si="7"/>
        <v>0</v>
      </c>
      <c r="N30" s="633">
        <v>0</v>
      </c>
      <c r="O30" s="635">
        <f t="shared" si="3"/>
        <v>0</v>
      </c>
    </row>
    <row r="31" spans="1:15" x14ac:dyDescent="0.25">
      <c r="A31" s="175">
        <f t="shared" si="0"/>
        <v>27</v>
      </c>
      <c r="B31" s="225"/>
      <c r="C31" s="1434">
        <f t="shared" si="4"/>
        <v>1.1399999999999999</v>
      </c>
      <c r="D31" s="633">
        <v>0</v>
      </c>
      <c r="E31" s="634">
        <f t="shared" si="1"/>
        <v>0</v>
      </c>
      <c r="F31" s="633">
        <v>0</v>
      </c>
      <c r="G31" s="635">
        <f t="shared" si="2"/>
        <v>0</v>
      </c>
      <c r="H31" s="42"/>
      <c r="I31" s="175">
        <f t="shared" si="5"/>
        <v>63</v>
      </c>
      <c r="J31" s="225"/>
      <c r="K31" s="1434">
        <f t="shared" si="6"/>
        <v>1.1399999999999999</v>
      </c>
      <c r="L31" s="633">
        <v>0</v>
      </c>
      <c r="M31" s="634">
        <f t="shared" si="7"/>
        <v>0</v>
      </c>
      <c r="N31" s="633">
        <v>0</v>
      </c>
      <c r="O31" s="635">
        <f t="shared" si="3"/>
        <v>0</v>
      </c>
    </row>
    <row r="32" spans="1:15" x14ac:dyDescent="0.25">
      <c r="A32" s="175">
        <f t="shared" si="0"/>
        <v>28</v>
      </c>
      <c r="B32" s="225"/>
      <c r="C32" s="1434">
        <f t="shared" si="4"/>
        <v>1.1399999999999999</v>
      </c>
      <c r="D32" s="633">
        <v>0</v>
      </c>
      <c r="E32" s="634">
        <f t="shared" si="1"/>
        <v>0</v>
      </c>
      <c r="F32" s="633">
        <v>0</v>
      </c>
      <c r="G32" s="635">
        <f t="shared" si="2"/>
        <v>0</v>
      </c>
      <c r="H32" s="42"/>
      <c r="I32" s="175">
        <f t="shared" si="5"/>
        <v>64</v>
      </c>
      <c r="J32" s="225"/>
      <c r="K32" s="1434">
        <f t="shared" si="6"/>
        <v>1.1399999999999999</v>
      </c>
      <c r="L32" s="633">
        <v>0</v>
      </c>
      <c r="M32" s="634">
        <f t="shared" si="7"/>
        <v>0</v>
      </c>
      <c r="N32" s="633">
        <v>0</v>
      </c>
      <c r="O32" s="635">
        <f t="shared" si="3"/>
        <v>0</v>
      </c>
    </row>
    <row r="33" spans="1:15" x14ac:dyDescent="0.25">
      <c r="A33" s="175">
        <f t="shared" si="0"/>
        <v>29</v>
      </c>
      <c r="B33" s="225"/>
      <c r="C33" s="1434">
        <f t="shared" si="4"/>
        <v>1.1399999999999999</v>
      </c>
      <c r="D33" s="633">
        <v>0</v>
      </c>
      <c r="E33" s="634">
        <f t="shared" si="1"/>
        <v>0</v>
      </c>
      <c r="F33" s="633">
        <v>0</v>
      </c>
      <c r="G33" s="635">
        <f t="shared" si="2"/>
        <v>0</v>
      </c>
      <c r="H33" s="42"/>
      <c r="I33" s="175">
        <f t="shared" si="5"/>
        <v>65</v>
      </c>
      <c r="J33" s="225"/>
      <c r="K33" s="1434">
        <f t="shared" si="6"/>
        <v>1.1399999999999999</v>
      </c>
      <c r="L33" s="633">
        <v>0</v>
      </c>
      <c r="M33" s="634">
        <f t="shared" si="7"/>
        <v>0</v>
      </c>
      <c r="N33" s="633">
        <v>0</v>
      </c>
      <c r="O33" s="635">
        <f t="shared" si="3"/>
        <v>0</v>
      </c>
    </row>
    <row r="34" spans="1:15" x14ac:dyDescent="0.25">
      <c r="A34" s="175">
        <f t="shared" si="0"/>
        <v>30</v>
      </c>
      <c r="B34" s="225"/>
      <c r="C34" s="1434">
        <f t="shared" si="4"/>
        <v>1.1399999999999999</v>
      </c>
      <c r="D34" s="633">
        <v>0</v>
      </c>
      <c r="E34" s="634">
        <f t="shared" si="1"/>
        <v>0</v>
      </c>
      <c r="F34" s="633">
        <v>0</v>
      </c>
      <c r="G34" s="635">
        <f t="shared" si="2"/>
        <v>0</v>
      </c>
      <c r="H34" s="42"/>
      <c r="I34" s="175">
        <f t="shared" si="5"/>
        <v>66</v>
      </c>
      <c r="J34" s="225"/>
      <c r="K34" s="1434">
        <f t="shared" si="6"/>
        <v>1.1399999999999999</v>
      </c>
      <c r="L34" s="633">
        <v>0</v>
      </c>
      <c r="M34" s="634">
        <f t="shared" si="7"/>
        <v>0</v>
      </c>
      <c r="N34" s="633">
        <v>0</v>
      </c>
      <c r="O34" s="635">
        <f t="shared" si="3"/>
        <v>0</v>
      </c>
    </row>
    <row r="35" spans="1:15" x14ac:dyDescent="0.25">
      <c r="A35" s="175">
        <f t="shared" si="0"/>
        <v>31</v>
      </c>
      <c r="B35" s="225"/>
      <c r="C35" s="1434">
        <f t="shared" si="4"/>
        <v>1.1399999999999999</v>
      </c>
      <c r="D35" s="633">
        <v>0</v>
      </c>
      <c r="E35" s="634">
        <f t="shared" si="1"/>
        <v>0</v>
      </c>
      <c r="F35" s="633">
        <v>0</v>
      </c>
      <c r="G35" s="635">
        <f t="shared" si="2"/>
        <v>0</v>
      </c>
      <c r="H35" s="42"/>
      <c r="I35" s="175">
        <f t="shared" si="5"/>
        <v>67</v>
      </c>
      <c r="J35" s="225"/>
      <c r="K35" s="1434">
        <f t="shared" si="6"/>
        <v>1.1399999999999999</v>
      </c>
      <c r="L35" s="633">
        <v>0</v>
      </c>
      <c r="M35" s="634">
        <f t="shared" si="7"/>
        <v>0</v>
      </c>
      <c r="N35" s="633">
        <v>0</v>
      </c>
      <c r="O35" s="635">
        <f t="shared" si="3"/>
        <v>0</v>
      </c>
    </row>
    <row r="36" spans="1:15" x14ac:dyDescent="0.25">
      <c r="A36" s="175">
        <f t="shared" si="0"/>
        <v>32</v>
      </c>
      <c r="B36" s="225"/>
      <c r="C36" s="1434">
        <f t="shared" si="4"/>
        <v>1.1399999999999999</v>
      </c>
      <c r="D36" s="633">
        <v>0</v>
      </c>
      <c r="E36" s="634">
        <f t="shared" si="1"/>
        <v>0</v>
      </c>
      <c r="F36" s="633">
        <v>0</v>
      </c>
      <c r="G36" s="635">
        <f t="shared" si="2"/>
        <v>0</v>
      </c>
      <c r="H36" s="42"/>
      <c r="I36" s="175">
        <f t="shared" si="5"/>
        <v>68</v>
      </c>
      <c r="J36" s="225"/>
      <c r="K36" s="1434">
        <f t="shared" si="6"/>
        <v>1.1399999999999999</v>
      </c>
      <c r="L36" s="633">
        <v>0</v>
      </c>
      <c r="M36" s="634">
        <f t="shared" si="7"/>
        <v>0</v>
      </c>
      <c r="N36" s="633">
        <v>0</v>
      </c>
      <c r="O36" s="635">
        <f t="shared" si="3"/>
        <v>0</v>
      </c>
    </row>
    <row r="37" spans="1:15" x14ac:dyDescent="0.25">
      <c r="A37" s="175">
        <f t="shared" si="0"/>
        <v>33</v>
      </c>
      <c r="B37" s="225"/>
      <c r="C37" s="1434">
        <f t="shared" si="4"/>
        <v>1.1399999999999999</v>
      </c>
      <c r="D37" s="633">
        <v>0</v>
      </c>
      <c r="E37" s="634">
        <f t="shared" si="1"/>
        <v>0</v>
      </c>
      <c r="F37" s="633">
        <v>0</v>
      </c>
      <c r="G37" s="635">
        <f t="shared" si="2"/>
        <v>0</v>
      </c>
      <c r="H37" s="42"/>
      <c r="I37" s="175">
        <f t="shared" si="5"/>
        <v>69</v>
      </c>
      <c r="J37" s="225"/>
      <c r="K37" s="1434">
        <f t="shared" si="6"/>
        <v>1.1399999999999999</v>
      </c>
      <c r="L37" s="633">
        <v>0</v>
      </c>
      <c r="M37" s="634">
        <f t="shared" si="7"/>
        <v>0</v>
      </c>
      <c r="N37" s="633">
        <v>0</v>
      </c>
      <c r="O37" s="635">
        <f t="shared" si="3"/>
        <v>0</v>
      </c>
    </row>
    <row r="38" spans="1:15" x14ac:dyDescent="0.25">
      <c r="A38" s="175">
        <f t="shared" si="0"/>
        <v>34</v>
      </c>
      <c r="B38" s="225"/>
      <c r="C38" s="1434">
        <f t="shared" si="4"/>
        <v>1.1399999999999999</v>
      </c>
      <c r="D38" s="633">
        <v>0</v>
      </c>
      <c r="E38" s="634">
        <f t="shared" si="1"/>
        <v>0</v>
      </c>
      <c r="F38" s="633">
        <v>0</v>
      </c>
      <c r="G38" s="635">
        <f t="shared" si="2"/>
        <v>0</v>
      </c>
      <c r="H38" s="42"/>
      <c r="I38" s="175">
        <f t="shared" si="5"/>
        <v>70</v>
      </c>
      <c r="J38" s="224"/>
      <c r="K38" s="1434">
        <f t="shared" si="6"/>
        <v>1.1399999999999999</v>
      </c>
      <c r="L38" s="633"/>
      <c r="M38" s="634">
        <f t="shared" si="7"/>
        <v>0</v>
      </c>
      <c r="N38" s="633">
        <v>0</v>
      </c>
      <c r="O38" s="635">
        <f t="shared" si="3"/>
        <v>0</v>
      </c>
    </row>
    <row r="39" spans="1:15" x14ac:dyDescent="0.25">
      <c r="A39" s="175">
        <f t="shared" si="0"/>
        <v>35</v>
      </c>
      <c r="B39" s="225"/>
      <c r="C39" s="1434">
        <f t="shared" si="4"/>
        <v>1.1399999999999999</v>
      </c>
      <c r="D39" s="633">
        <v>0</v>
      </c>
      <c r="E39" s="634">
        <f t="shared" si="1"/>
        <v>0</v>
      </c>
      <c r="F39" s="633">
        <v>0</v>
      </c>
      <c r="G39" s="635">
        <f t="shared" si="2"/>
        <v>0</v>
      </c>
      <c r="H39" s="42"/>
      <c r="I39" s="175">
        <f t="shared" si="5"/>
        <v>71</v>
      </c>
      <c r="J39" s="225"/>
      <c r="K39" s="1434">
        <f t="shared" si="6"/>
        <v>1.1399999999999999</v>
      </c>
      <c r="L39" s="633">
        <v>0</v>
      </c>
      <c r="M39" s="634">
        <f t="shared" si="7"/>
        <v>0</v>
      </c>
      <c r="N39" s="633">
        <v>0</v>
      </c>
      <c r="O39" s="635">
        <f t="shared" si="3"/>
        <v>0</v>
      </c>
    </row>
    <row r="40" spans="1:15" x14ac:dyDescent="0.25">
      <c r="A40" s="175">
        <f t="shared" si="0"/>
        <v>36</v>
      </c>
      <c r="B40" s="225"/>
      <c r="C40" s="1434">
        <f t="shared" si="4"/>
        <v>1.1399999999999999</v>
      </c>
      <c r="D40" s="633">
        <v>0</v>
      </c>
      <c r="E40" s="634">
        <f t="shared" si="1"/>
        <v>0</v>
      </c>
      <c r="F40" s="633">
        <v>0</v>
      </c>
      <c r="G40" s="635">
        <f t="shared" si="2"/>
        <v>0</v>
      </c>
      <c r="H40" s="42"/>
      <c r="I40" s="175">
        <f t="shared" si="5"/>
        <v>72</v>
      </c>
      <c r="J40" s="225"/>
      <c r="K40" s="1434">
        <f t="shared" si="6"/>
        <v>1.1399999999999999</v>
      </c>
      <c r="L40" s="633">
        <v>0</v>
      </c>
      <c r="M40" s="634">
        <f t="shared" si="7"/>
        <v>0</v>
      </c>
      <c r="N40" s="633">
        <v>0</v>
      </c>
      <c r="O40" s="635">
        <f t="shared" si="3"/>
        <v>0</v>
      </c>
    </row>
    <row r="41" spans="1:15" ht="15.6" thickBot="1" x14ac:dyDescent="0.3">
      <c r="A41" s="175">
        <f t="shared" si="0"/>
        <v>37</v>
      </c>
      <c r="B41" s="225"/>
      <c r="C41" s="1434">
        <f t="shared" si="4"/>
        <v>1.1399999999999999</v>
      </c>
      <c r="D41" s="633">
        <v>0</v>
      </c>
      <c r="E41" s="634">
        <f t="shared" si="1"/>
        <v>0</v>
      </c>
      <c r="F41" s="633">
        <v>0</v>
      </c>
      <c r="G41" s="635">
        <f t="shared" si="2"/>
        <v>0</v>
      </c>
      <c r="H41" s="42"/>
      <c r="I41" s="175">
        <f t="shared" si="5"/>
        <v>73</v>
      </c>
      <c r="J41" s="328"/>
      <c r="K41" s="1434">
        <f t="shared" si="6"/>
        <v>1.1399999999999999</v>
      </c>
      <c r="L41" s="633">
        <v>0</v>
      </c>
      <c r="M41" s="634">
        <f t="shared" si="7"/>
        <v>0</v>
      </c>
      <c r="N41" s="633">
        <v>0</v>
      </c>
      <c r="O41" s="635">
        <f t="shared" si="3"/>
        <v>0</v>
      </c>
    </row>
    <row r="42" spans="1:15" ht="16.2" thickTop="1" thickBot="1" x14ac:dyDescent="0.3">
      <c r="A42" s="178" t="s">
        <v>4</v>
      </c>
      <c r="B42" s="222"/>
      <c r="C42" s="222"/>
      <c r="D42" s="1213">
        <f>SUM(D5:D41)</f>
        <v>0</v>
      </c>
      <c r="E42" s="1213">
        <f>SUM(E5:E41)</f>
        <v>0</v>
      </c>
      <c r="F42" s="1213">
        <f>SUM(F5:F41)</f>
        <v>0</v>
      </c>
      <c r="G42" s="1214">
        <f>SUM(G5:G41)</f>
        <v>0</v>
      </c>
      <c r="H42" s="1215"/>
      <c r="I42" s="1216" t="s">
        <v>4</v>
      </c>
      <c r="J42" s="329">
        <f>L42-M42</f>
        <v>0</v>
      </c>
      <c r="K42" s="329"/>
      <c r="L42" s="1213">
        <f>SUM(L5:L41)</f>
        <v>0</v>
      </c>
      <c r="M42" s="1213">
        <f>SUM(M5:M41)</f>
        <v>0</v>
      </c>
      <c r="N42" s="1213">
        <f>SUM(N5:N41)</f>
        <v>0</v>
      </c>
      <c r="O42" s="1214">
        <f>SUM(O5:O41)</f>
        <v>0</v>
      </c>
    </row>
    <row r="43" spans="1:15" ht="15.6" thickTop="1" x14ac:dyDescent="0.25">
      <c r="J43" s="327"/>
      <c r="K43" s="327"/>
    </row>
  </sheetData>
  <sheetProtection algorithmName="SHA-512" hashValue="gfq555kIRav8c2QOYN/p6mQhxQJqmwAH/wH5UkLAdo0bVnsqj/+tIY7MrHOCWC9yJOHSQjMy3BGJCxhq+xVZ8g==" saltValue="K+NmQz4Po+qDc13CpBpcSw==" spinCount="100000" sheet="1" objects="1" scenarios="1"/>
  <mergeCells count="2">
    <mergeCell ref="A2:D2"/>
    <mergeCell ref="I2:L2"/>
  </mergeCells>
  <phoneticPr fontId="33"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L79"/>
  <sheetViews>
    <sheetView topLeftCell="A46" zoomScaleNormal="100" zoomScaleSheetLayoutView="75" workbookViewId="0">
      <selection activeCell="K22" sqref="K22"/>
    </sheetView>
  </sheetViews>
  <sheetFormatPr defaultRowHeight="15" x14ac:dyDescent="0.25"/>
  <cols>
    <col min="1" max="1" width="5.4140625" customWidth="1"/>
    <col min="2" max="2" width="8.6640625" customWidth="1"/>
    <col min="3" max="3" width="11.6640625" customWidth="1"/>
    <col min="4" max="4" width="14" bestFit="1" customWidth="1"/>
    <col min="5" max="5" width="7.08203125" customWidth="1"/>
    <col min="6" max="6" width="28.08203125" customWidth="1"/>
    <col min="7" max="7" width="9.33203125" customWidth="1"/>
    <col min="8" max="8" width="8.25" customWidth="1"/>
    <col min="9" max="9" width="12.75" customWidth="1"/>
  </cols>
  <sheetData>
    <row r="1" spans="1:9" ht="18" thickTop="1" x14ac:dyDescent="0.25">
      <c r="A1" s="777" t="s">
        <v>27</v>
      </c>
      <c r="B1" s="778"/>
      <c r="C1" s="179"/>
      <c r="D1" s="179"/>
      <c r="E1" s="179"/>
      <c r="F1" s="179"/>
      <c r="G1" s="179"/>
      <c r="H1" s="179"/>
      <c r="I1" s="180"/>
    </row>
    <row r="2" spans="1:9" ht="15.6" x14ac:dyDescent="0.25">
      <c r="A2" s="149" t="s">
        <v>150</v>
      </c>
      <c r="B2" s="352"/>
      <c r="C2" s="181"/>
      <c r="D2" s="181"/>
      <c r="E2" s="40"/>
      <c r="F2" s="1171" t="s">
        <v>151</v>
      </c>
      <c r="G2" s="181"/>
      <c r="H2" s="181"/>
      <c r="I2" s="182"/>
    </row>
    <row r="3" spans="1:9" ht="15.6" x14ac:dyDescent="0.25">
      <c r="A3" s="183"/>
      <c r="B3" s="181"/>
      <c r="C3" s="2048" t="s">
        <v>26</v>
      </c>
      <c r="D3" s="2048"/>
      <c r="E3" s="1184">
        <f>'Input Data'!D29</f>
        <v>0</v>
      </c>
      <c r="F3" s="185" t="s">
        <v>203</v>
      </c>
      <c r="G3" s="1290">
        <f>'Input Data'!D7</f>
        <v>0</v>
      </c>
      <c r="H3" s="181"/>
      <c r="I3" s="182"/>
    </row>
    <row r="4" spans="1:9" x14ac:dyDescent="0.25">
      <c r="A4" s="924"/>
      <c r="B4" s="760" t="s">
        <v>28</v>
      </c>
      <c r="C4" s="186" t="s">
        <v>3</v>
      </c>
      <c r="D4" s="181" t="s">
        <v>29</v>
      </c>
      <c r="E4" s="184" t="s">
        <v>28</v>
      </c>
      <c r="F4" s="186" t="s">
        <v>3</v>
      </c>
      <c r="G4" s="181" t="s">
        <v>29</v>
      </c>
      <c r="H4" s="181"/>
      <c r="I4" s="182"/>
    </row>
    <row r="5" spans="1:9" x14ac:dyDescent="0.25">
      <c r="A5" s="924"/>
      <c r="B5" s="188" t="s">
        <v>30</v>
      </c>
      <c r="C5" s="187"/>
      <c r="D5" s="187"/>
      <c r="E5" s="188" t="s">
        <v>31</v>
      </c>
      <c r="F5" s="187"/>
      <c r="G5" s="2049"/>
      <c r="H5" s="2050"/>
      <c r="I5" s="2051"/>
    </row>
    <row r="6" spans="1:9" x14ac:dyDescent="0.25">
      <c r="A6" s="924"/>
      <c r="B6" s="188" t="s">
        <v>32</v>
      </c>
      <c r="C6" s="187"/>
      <c r="D6" s="187"/>
      <c r="E6" s="188" t="s">
        <v>33</v>
      </c>
      <c r="F6" s="189"/>
      <c r="G6" s="2049"/>
      <c r="H6" s="2050"/>
      <c r="I6" s="2051"/>
    </row>
    <row r="7" spans="1:9" x14ac:dyDescent="0.25">
      <c r="A7" s="924"/>
      <c r="B7" s="188" t="s">
        <v>34</v>
      </c>
      <c r="C7" s="189"/>
      <c r="D7" s="187"/>
      <c r="E7" s="188" t="s">
        <v>35</v>
      </c>
      <c r="F7" s="189"/>
      <c r="G7" s="2049"/>
      <c r="H7" s="2050"/>
      <c r="I7" s="2051"/>
    </row>
    <row r="8" spans="1:9" ht="15.6" thickBot="1" x14ac:dyDescent="0.3">
      <c r="A8" s="190"/>
      <c r="B8" s="191"/>
      <c r="C8" s="191"/>
      <c r="D8" s="191"/>
      <c r="E8" s="191"/>
      <c r="F8" s="191"/>
      <c r="G8" s="191"/>
      <c r="H8" s="191"/>
      <c r="I8" s="192"/>
    </row>
    <row r="9" spans="1:9" ht="15.6" thickTop="1" x14ac:dyDescent="0.25">
      <c r="A9" s="203" t="s">
        <v>584</v>
      </c>
      <c r="B9" s="917"/>
      <c r="C9" s="193"/>
      <c r="D9" s="193"/>
      <c r="E9" s="193"/>
      <c r="F9" s="193"/>
      <c r="G9" s="193" t="s">
        <v>98</v>
      </c>
      <c r="H9" s="193"/>
      <c r="I9" s="649"/>
    </row>
    <row r="10" spans="1:9" ht="27.6" x14ac:dyDescent="0.25">
      <c r="A10" s="925" t="s">
        <v>362</v>
      </c>
      <c r="B10" s="673" t="s">
        <v>3</v>
      </c>
      <c r="C10" s="645" t="s">
        <v>36</v>
      </c>
      <c r="D10" s="646" t="s">
        <v>20</v>
      </c>
      <c r="E10" s="646" t="s">
        <v>37</v>
      </c>
      <c r="F10" s="647" t="s">
        <v>38</v>
      </c>
      <c r="G10" s="655" t="s">
        <v>7</v>
      </c>
      <c r="H10" s="646" t="s">
        <v>316</v>
      </c>
      <c r="I10" s="650" t="s">
        <v>39</v>
      </c>
    </row>
    <row r="11" spans="1:9" x14ac:dyDescent="0.25">
      <c r="A11" s="157"/>
      <c r="B11" s="918"/>
      <c r="C11" s="143"/>
      <c r="D11" s="110"/>
      <c r="E11" s="110"/>
      <c r="F11" s="110"/>
      <c r="G11" s="652"/>
      <c r="H11" s="1242"/>
      <c r="I11" s="1243">
        <f>G11*H11</f>
        <v>0</v>
      </c>
    </row>
    <row r="12" spans="1:9" x14ac:dyDescent="0.25">
      <c r="A12" s="204"/>
      <c r="B12" s="919"/>
      <c r="C12" s="119"/>
      <c r="D12" s="111"/>
      <c r="E12" s="111"/>
      <c r="F12" s="111"/>
      <c r="G12" s="653"/>
      <c r="H12" s="1244">
        <v>0</v>
      </c>
      <c r="I12" s="1245">
        <f t="shared" ref="I12:I20" si="0">G12*H12</f>
        <v>0</v>
      </c>
    </row>
    <row r="13" spans="1:9" x14ac:dyDescent="0.25">
      <c r="A13" s="158"/>
      <c r="B13" s="767"/>
      <c r="C13" s="119"/>
      <c r="D13" s="111"/>
      <c r="E13" s="111"/>
      <c r="F13" s="111"/>
      <c r="G13" s="653"/>
      <c r="H13" s="1244">
        <v>0</v>
      </c>
      <c r="I13" s="1245">
        <f t="shared" si="0"/>
        <v>0</v>
      </c>
    </row>
    <row r="14" spans="1:9" x14ac:dyDescent="0.25">
      <c r="A14" s="158"/>
      <c r="B14" s="767"/>
      <c r="C14" s="119"/>
      <c r="D14" s="111"/>
      <c r="E14" s="111"/>
      <c r="F14" s="111"/>
      <c r="G14" s="653"/>
      <c r="H14" s="1244">
        <v>0</v>
      </c>
      <c r="I14" s="1245">
        <f t="shared" si="0"/>
        <v>0</v>
      </c>
    </row>
    <row r="15" spans="1:9" x14ac:dyDescent="0.25">
      <c r="A15" s="158"/>
      <c r="B15" s="767"/>
      <c r="C15" s="119"/>
      <c r="D15" s="111"/>
      <c r="E15" s="111"/>
      <c r="F15" s="111"/>
      <c r="G15" s="653"/>
      <c r="H15" s="1244">
        <v>0</v>
      </c>
      <c r="I15" s="1245">
        <f t="shared" si="0"/>
        <v>0</v>
      </c>
    </row>
    <row r="16" spans="1:9" x14ac:dyDescent="0.25">
      <c r="A16" s="158"/>
      <c r="B16" s="767"/>
      <c r="C16" s="119"/>
      <c r="D16" s="111"/>
      <c r="E16" s="111"/>
      <c r="F16" s="111"/>
      <c r="G16" s="653"/>
      <c r="H16" s="1244">
        <v>0</v>
      </c>
      <c r="I16" s="1245">
        <f t="shared" si="0"/>
        <v>0</v>
      </c>
    </row>
    <row r="17" spans="1:12" x14ac:dyDescent="0.25">
      <c r="A17" s="158"/>
      <c r="B17" s="767"/>
      <c r="C17" s="119"/>
      <c r="D17" s="111"/>
      <c r="E17" s="111"/>
      <c r="F17" s="111"/>
      <c r="G17" s="653"/>
      <c r="H17" s="1244">
        <v>0</v>
      </c>
      <c r="I17" s="1245">
        <f t="shared" si="0"/>
        <v>0</v>
      </c>
    </row>
    <row r="18" spans="1:12" x14ac:dyDescent="0.25">
      <c r="A18" s="158"/>
      <c r="B18" s="767"/>
      <c r="C18" s="119"/>
      <c r="D18" s="111"/>
      <c r="E18" s="111"/>
      <c r="F18" s="111"/>
      <c r="G18" s="653"/>
      <c r="H18" s="1244">
        <v>0</v>
      </c>
      <c r="I18" s="1245">
        <f t="shared" si="0"/>
        <v>0</v>
      </c>
    </row>
    <row r="19" spans="1:12" x14ac:dyDescent="0.25">
      <c r="A19" s="158"/>
      <c r="B19" s="767"/>
      <c r="C19" s="119"/>
      <c r="D19" s="111"/>
      <c r="E19" s="111"/>
      <c r="F19" s="111"/>
      <c r="G19" s="653"/>
      <c r="H19" s="1244">
        <v>0</v>
      </c>
      <c r="I19" s="1245">
        <f t="shared" si="0"/>
        <v>0</v>
      </c>
    </row>
    <row r="20" spans="1:12" x14ac:dyDescent="0.25">
      <c r="A20" s="205"/>
      <c r="B20" s="766"/>
      <c r="C20" s="146"/>
      <c r="D20" s="145"/>
      <c r="E20" s="145"/>
      <c r="F20" s="145"/>
      <c r="G20" s="653"/>
      <c r="H20" s="1244">
        <v>0</v>
      </c>
      <c r="I20" s="1246">
        <f t="shared" si="0"/>
        <v>0</v>
      </c>
    </row>
    <row r="21" spans="1:12" ht="15.6" thickBot="1" x14ac:dyDescent="0.3">
      <c r="A21" s="206"/>
      <c r="B21" s="920"/>
      <c r="C21" s="207"/>
      <c r="D21" s="208"/>
      <c r="E21" s="208"/>
      <c r="F21" s="208"/>
      <c r="G21" s="656"/>
      <c r="H21" s="1247"/>
      <c r="I21" s="1248">
        <f>G21*H21</f>
        <v>0</v>
      </c>
    </row>
    <row r="22" spans="1:12" ht="15.6" thickTop="1" x14ac:dyDescent="0.25">
      <c r="A22" s="209"/>
      <c r="B22" s="136"/>
      <c r="C22" s="136"/>
      <c r="D22" s="136"/>
      <c r="E22" s="136"/>
      <c r="F22" s="136"/>
      <c r="G22" s="657"/>
      <c r="H22" s="1249" t="s">
        <v>144</v>
      </c>
      <c r="I22" s="1250">
        <f>SUM(I11:I21)</f>
        <v>0</v>
      </c>
    </row>
    <row r="23" spans="1:12" ht="15.6" thickBot="1" x14ac:dyDescent="0.3">
      <c r="A23" s="1004"/>
      <c r="B23" s="1005"/>
      <c r="C23" s="1005"/>
      <c r="D23" s="1005"/>
      <c r="E23" s="1005"/>
      <c r="F23" s="1005"/>
      <c r="G23" s="1155"/>
      <c r="H23" s="1251" t="s">
        <v>253</v>
      </c>
      <c r="I23" s="1252"/>
    </row>
    <row r="24" spans="1:12" ht="16.2" thickTop="1" thickBot="1" x14ac:dyDescent="0.3">
      <c r="A24" s="298"/>
      <c r="B24" s="298"/>
      <c r="C24" s="298"/>
      <c r="D24" s="298"/>
      <c r="E24" s="298"/>
      <c r="F24" s="298"/>
      <c r="G24" s="298"/>
      <c r="H24" s="298"/>
      <c r="I24" s="298"/>
      <c r="L24" s="346"/>
    </row>
    <row r="25" spans="1:12" ht="15.6" thickTop="1" x14ac:dyDescent="0.25">
      <c r="A25" s="1163" t="s">
        <v>586</v>
      </c>
      <c r="B25" s="1152"/>
      <c r="C25" s="1153"/>
      <c r="D25" s="1153"/>
      <c r="E25" s="1153"/>
      <c r="F25" s="1153"/>
      <c r="G25" s="1153"/>
      <c r="H25" s="1153"/>
      <c r="I25" s="1154"/>
    </row>
    <row r="26" spans="1:12" ht="27.6" x14ac:dyDescent="0.25">
      <c r="A26" s="925" t="s">
        <v>362</v>
      </c>
      <c r="B26" s="673" t="s">
        <v>3</v>
      </c>
      <c r="C26" s="645" t="s">
        <v>36</v>
      </c>
      <c r="D26" s="646" t="s">
        <v>20</v>
      </c>
      <c r="E26" s="646" t="s">
        <v>37</v>
      </c>
      <c r="F26" s="647" t="s">
        <v>38</v>
      </c>
      <c r="G26" s="646" t="s">
        <v>7</v>
      </c>
      <c r="H26" s="646" t="s">
        <v>316</v>
      </c>
      <c r="I26" s="648" t="s">
        <v>39</v>
      </c>
    </row>
    <row r="27" spans="1:12" x14ac:dyDescent="0.25">
      <c r="A27" s="194"/>
      <c r="B27" s="914"/>
      <c r="C27" s="195"/>
      <c r="D27" s="196"/>
      <c r="E27" s="196"/>
      <c r="F27" s="196"/>
      <c r="G27" s="652"/>
      <c r="H27" s="1242"/>
      <c r="I27" s="1243">
        <f t="shared" ref="I27:I36" si="1">G27*H27</f>
        <v>0</v>
      </c>
    </row>
    <row r="28" spans="1:12" x14ac:dyDescent="0.25">
      <c r="A28" s="197"/>
      <c r="B28" s="915"/>
      <c r="C28" s="198"/>
      <c r="D28" s="199"/>
      <c r="E28" s="199"/>
      <c r="F28" s="199"/>
      <c r="G28" s="653"/>
      <c r="H28" s="1244">
        <v>0</v>
      </c>
      <c r="I28" s="1245">
        <f t="shared" si="1"/>
        <v>0</v>
      </c>
    </row>
    <row r="29" spans="1:12" x14ac:dyDescent="0.25">
      <c r="A29" s="200"/>
      <c r="B29" s="916"/>
      <c r="C29" s="198"/>
      <c r="D29" s="199"/>
      <c r="E29" s="199"/>
      <c r="F29" s="199"/>
      <c r="G29" s="653"/>
      <c r="H29" s="1244">
        <v>0</v>
      </c>
      <c r="I29" s="1245">
        <f t="shared" si="1"/>
        <v>0</v>
      </c>
    </row>
    <row r="30" spans="1:12" x14ac:dyDescent="0.25">
      <c r="A30" s="200"/>
      <c r="B30" s="916"/>
      <c r="C30" s="198"/>
      <c r="D30" s="199"/>
      <c r="E30" s="199"/>
      <c r="F30" s="199"/>
      <c r="G30" s="653"/>
      <c r="H30" s="1244">
        <v>0</v>
      </c>
      <c r="I30" s="1245">
        <f t="shared" si="1"/>
        <v>0</v>
      </c>
    </row>
    <row r="31" spans="1:12" x14ac:dyDescent="0.25">
      <c r="A31" s="200"/>
      <c r="B31" s="916"/>
      <c r="C31" s="198"/>
      <c r="D31" s="199"/>
      <c r="E31" s="199"/>
      <c r="F31" s="199"/>
      <c r="G31" s="653"/>
      <c r="H31" s="1244">
        <v>0</v>
      </c>
      <c r="I31" s="1245">
        <f t="shared" si="1"/>
        <v>0</v>
      </c>
    </row>
    <row r="32" spans="1:12" x14ac:dyDescent="0.25">
      <c r="A32" s="200"/>
      <c r="B32" s="916"/>
      <c r="C32" s="198"/>
      <c r="D32" s="199"/>
      <c r="E32" s="199"/>
      <c r="F32" s="199"/>
      <c r="G32" s="653"/>
      <c r="H32" s="1244">
        <v>0</v>
      </c>
      <c r="I32" s="1245">
        <f t="shared" si="1"/>
        <v>0</v>
      </c>
    </row>
    <row r="33" spans="1:9" x14ac:dyDescent="0.25">
      <c r="A33" s="200"/>
      <c r="B33" s="916"/>
      <c r="C33" s="198"/>
      <c r="D33" s="199"/>
      <c r="E33" s="199"/>
      <c r="F33" s="199"/>
      <c r="G33" s="653"/>
      <c r="H33" s="1244">
        <v>0</v>
      </c>
      <c r="I33" s="1245">
        <f t="shared" si="1"/>
        <v>0</v>
      </c>
    </row>
    <row r="34" spans="1:9" x14ac:dyDescent="0.25">
      <c r="A34" s="200"/>
      <c r="B34" s="916"/>
      <c r="C34" s="198"/>
      <c r="D34" s="199"/>
      <c r="E34" s="199"/>
      <c r="F34" s="199"/>
      <c r="G34" s="653"/>
      <c r="H34" s="1244">
        <v>0</v>
      </c>
      <c r="I34" s="1245">
        <f t="shared" si="1"/>
        <v>0</v>
      </c>
    </row>
    <row r="35" spans="1:9" x14ac:dyDescent="0.25">
      <c r="A35" s="200"/>
      <c r="B35" s="916"/>
      <c r="C35" s="198"/>
      <c r="D35" s="199"/>
      <c r="E35" s="199"/>
      <c r="F35" s="199"/>
      <c r="G35" s="653"/>
      <c r="H35" s="1244">
        <v>0</v>
      </c>
      <c r="I35" s="1245">
        <f t="shared" si="1"/>
        <v>0</v>
      </c>
    </row>
    <row r="36" spans="1:9" x14ac:dyDescent="0.25">
      <c r="A36" s="200"/>
      <c r="B36" s="916"/>
      <c r="C36" s="198"/>
      <c r="D36" s="199"/>
      <c r="E36" s="199"/>
      <c r="F36" s="199"/>
      <c r="G36" s="653"/>
      <c r="H36" s="1253">
        <v>0</v>
      </c>
      <c r="I36" s="1245">
        <f t="shared" si="1"/>
        <v>0</v>
      </c>
    </row>
    <row r="37" spans="1:9" x14ac:dyDescent="0.25">
      <c r="A37" s="201"/>
      <c r="B37" s="202"/>
      <c r="C37" s="202"/>
      <c r="D37" s="202"/>
      <c r="E37" s="202"/>
      <c r="F37" s="202"/>
      <c r="G37" s="654"/>
      <c r="H37" s="1254" t="s">
        <v>143</v>
      </c>
      <c r="I37" s="1250">
        <f>SUM(I27:I36)</f>
        <v>0</v>
      </c>
    </row>
    <row r="38" spans="1:9" ht="15.6" thickBot="1" x14ac:dyDescent="0.3">
      <c r="A38" s="190"/>
      <c r="B38" s="191"/>
      <c r="C38" s="191"/>
      <c r="D38" s="191"/>
      <c r="E38" s="191"/>
      <c r="F38" s="191"/>
      <c r="G38" s="1156"/>
      <c r="H38" s="1255" t="s">
        <v>253</v>
      </c>
      <c r="I38" s="1252">
        <v>0</v>
      </c>
    </row>
    <row r="39" spans="1:9" ht="16.2" thickTop="1" thickBot="1" x14ac:dyDescent="0.3">
      <c r="A39" s="1159"/>
      <c r="B39" s="1160"/>
      <c r="C39" s="1160"/>
      <c r="D39" s="1160"/>
      <c r="E39" s="1160"/>
      <c r="F39" s="1160"/>
      <c r="G39" s="1161"/>
      <c r="H39" s="1160"/>
      <c r="I39" s="1162"/>
    </row>
    <row r="40" spans="1:9" ht="15.6" thickTop="1" x14ac:dyDescent="0.25">
      <c r="A40" s="1151" t="s">
        <v>408</v>
      </c>
      <c r="B40" s="1152"/>
      <c r="C40" s="1153"/>
      <c r="D40" s="1153"/>
      <c r="E40" s="1153"/>
      <c r="F40" s="1153"/>
      <c r="G40" s="1157"/>
      <c r="H40" s="1153"/>
      <c r="I40" s="1158"/>
    </row>
    <row r="41" spans="1:9" ht="27.6" x14ac:dyDescent="0.25">
      <c r="A41" s="925" t="s">
        <v>362</v>
      </c>
      <c r="B41" s="673" t="s">
        <v>3</v>
      </c>
      <c r="C41" s="645" t="s">
        <v>36</v>
      </c>
      <c r="D41" s="646" t="s">
        <v>20</v>
      </c>
      <c r="E41" s="646" t="s">
        <v>37</v>
      </c>
      <c r="F41" s="647" t="s">
        <v>38</v>
      </c>
      <c r="G41" s="655" t="s">
        <v>7</v>
      </c>
      <c r="H41" s="646" t="s">
        <v>316</v>
      </c>
      <c r="I41" s="650" t="s">
        <v>39</v>
      </c>
    </row>
    <row r="42" spans="1:9" x14ac:dyDescent="0.25">
      <c r="A42" s="194"/>
      <c r="B42" s="914"/>
      <c r="C42" s="195"/>
      <c r="D42" s="196"/>
      <c r="E42" s="196"/>
      <c r="F42" s="196"/>
      <c r="G42" s="652"/>
      <c r="H42" s="1242"/>
      <c r="I42" s="1243">
        <f t="shared" ref="I42:I54" si="2">G42*H42</f>
        <v>0</v>
      </c>
    </row>
    <row r="43" spans="1:9" x14ac:dyDescent="0.25">
      <c r="A43" s="197"/>
      <c r="B43" s="915"/>
      <c r="C43" s="198"/>
      <c r="D43" s="199"/>
      <c r="E43" s="199"/>
      <c r="F43" s="199"/>
      <c r="G43" s="653"/>
      <c r="H43" s="1244">
        <v>0</v>
      </c>
      <c r="I43" s="1245">
        <f t="shared" si="2"/>
        <v>0</v>
      </c>
    </row>
    <row r="44" spans="1:9" x14ac:dyDescent="0.25">
      <c r="A44" s="200"/>
      <c r="B44" s="916"/>
      <c r="C44" s="198"/>
      <c r="D44" s="199"/>
      <c r="E44" s="199"/>
      <c r="F44" s="199"/>
      <c r="G44" s="653"/>
      <c r="H44" s="1244">
        <v>0</v>
      </c>
      <c r="I44" s="1245">
        <f t="shared" si="2"/>
        <v>0</v>
      </c>
    </row>
    <row r="45" spans="1:9" x14ac:dyDescent="0.25">
      <c r="A45" s="200"/>
      <c r="B45" s="916"/>
      <c r="C45" s="198"/>
      <c r="D45" s="199"/>
      <c r="E45" s="199"/>
      <c r="F45" s="199"/>
      <c r="G45" s="653"/>
      <c r="H45" s="1244">
        <v>0</v>
      </c>
      <c r="I45" s="1245">
        <f t="shared" si="2"/>
        <v>0</v>
      </c>
    </row>
    <row r="46" spans="1:9" x14ac:dyDescent="0.25">
      <c r="A46" s="200"/>
      <c r="B46" s="916"/>
      <c r="C46" s="198"/>
      <c r="D46" s="199"/>
      <c r="E46" s="199"/>
      <c r="F46" s="199"/>
      <c r="G46" s="653"/>
      <c r="H46" s="1244">
        <v>0</v>
      </c>
      <c r="I46" s="1245">
        <f t="shared" si="2"/>
        <v>0</v>
      </c>
    </row>
    <row r="47" spans="1:9" x14ac:dyDescent="0.25">
      <c r="A47" s="200"/>
      <c r="B47" s="916"/>
      <c r="C47" s="198"/>
      <c r="D47" s="199"/>
      <c r="E47" s="199"/>
      <c r="F47" s="199"/>
      <c r="G47" s="653"/>
      <c r="H47" s="1244">
        <v>0</v>
      </c>
      <c r="I47" s="1245">
        <f t="shared" si="2"/>
        <v>0</v>
      </c>
    </row>
    <row r="48" spans="1:9" x14ac:dyDescent="0.25">
      <c r="A48" s="200"/>
      <c r="B48" s="916"/>
      <c r="C48" s="198"/>
      <c r="D48" s="199"/>
      <c r="E48" s="199"/>
      <c r="F48" s="199"/>
      <c r="G48" s="653"/>
      <c r="H48" s="1244">
        <v>0</v>
      </c>
      <c r="I48" s="1245">
        <f t="shared" si="2"/>
        <v>0</v>
      </c>
    </row>
    <row r="49" spans="1:9" x14ac:dyDescent="0.25">
      <c r="A49" s="200"/>
      <c r="B49" s="916"/>
      <c r="C49" s="198"/>
      <c r="D49" s="199"/>
      <c r="E49" s="199"/>
      <c r="F49" s="199"/>
      <c r="G49" s="653"/>
      <c r="H49" s="1244">
        <v>0</v>
      </c>
      <c r="I49" s="1245">
        <f t="shared" si="2"/>
        <v>0</v>
      </c>
    </row>
    <row r="50" spans="1:9" x14ac:dyDescent="0.25">
      <c r="A50" s="200"/>
      <c r="B50" s="916"/>
      <c r="C50" s="198"/>
      <c r="D50" s="199"/>
      <c r="E50" s="199"/>
      <c r="F50" s="199"/>
      <c r="G50" s="653"/>
      <c r="H50" s="1244">
        <v>0</v>
      </c>
      <c r="I50" s="1245">
        <f t="shared" si="2"/>
        <v>0</v>
      </c>
    </row>
    <row r="51" spans="1:9" x14ac:dyDescent="0.25">
      <c r="A51" s="200"/>
      <c r="B51" s="916"/>
      <c r="C51" s="198"/>
      <c r="D51" s="199"/>
      <c r="E51" s="199"/>
      <c r="F51" s="199"/>
      <c r="G51" s="653"/>
      <c r="H51" s="1244">
        <v>0</v>
      </c>
      <c r="I51" s="1245">
        <f t="shared" si="2"/>
        <v>0</v>
      </c>
    </row>
    <row r="52" spans="1:9" x14ac:dyDescent="0.25">
      <c r="A52" s="200"/>
      <c r="B52" s="916"/>
      <c r="C52" s="198"/>
      <c r="D52" s="199"/>
      <c r="E52" s="199"/>
      <c r="F52" s="199"/>
      <c r="G52" s="653"/>
      <c r="H52" s="1244"/>
      <c r="I52" s="1245">
        <f t="shared" si="2"/>
        <v>0</v>
      </c>
    </row>
    <row r="53" spans="1:9" x14ac:dyDescent="0.25">
      <c r="A53" s="200"/>
      <c r="B53" s="916"/>
      <c r="C53" s="198"/>
      <c r="D53" s="199"/>
      <c r="E53" s="199"/>
      <c r="F53" s="199"/>
      <c r="G53" s="653"/>
      <c r="H53" s="1244"/>
      <c r="I53" s="1245">
        <f t="shared" si="2"/>
        <v>0</v>
      </c>
    </row>
    <row r="54" spans="1:9" x14ac:dyDescent="0.25">
      <c r="A54" s="210"/>
      <c r="B54" s="921"/>
      <c r="C54" s="211"/>
      <c r="D54" s="212"/>
      <c r="E54" s="212"/>
      <c r="F54" s="212"/>
      <c r="G54" s="653"/>
      <c r="H54" s="1244"/>
      <c r="I54" s="1246">
        <f t="shared" si="2"/>
        <v>0</v>
      </c>
    </row>
    <row r="55" spans="1:9" ht="15.6" thickBot="1" x14ac:dyDescent="0.3">
      <c r="A55" s="213"/>
      <c r="B55" s="922"/>
      <c r="C55" s="214"/>
      <c r="D55" s="215"/>
      <c r="E55" s="215"/>
      <c r="F55" s="215"/>
      <c r="G55" s="656"/>
      <c r="H55" s="1247"/>
      <c r="I55" s="1248">
        <f>G55*H55</f>
        <v>0</v>
      </c>
    </row>
    <row r="56" spans="1:9" ht="15.6" thickTop="1" x14ac:dyDescent="0.25">
      <c r="A56" s="201"/>
      <c r="B56" s="202"/>
      <c r="C56" s="202"/>
      <c r="D56" s="202"/>
      <c r="E56" s="202"/>
      <c r="F56" s="202"/>
      <c r="G56" s="658"/>
      <c r="H56" s="1256" t="s">
        <v>215</v>
      </c>
      <c r="I56" s="1250">
        <f>SUM(I42:I55)</f>
        <v>0</v>
      </c>
    </row>
    <row r="57" spans="1:9" ht="15.6" thickBot="1" x14ac:dyDescent="0.3">
      <c r="A57" s="216"/>
      <c r="B57" s="217"/>
      <c r="C57" s="217"/>
      <c r="D57" s="217"/>
      <c r="E57" s="217"/>
      <c r="F57" s="217"/>
      <c r="G57" s="659"/>
      <c r="H57" s="330" t="s">
        <v>253</v>
      </c>
      <c r="I57" s="1169"/>
    </row>
    <row r="58" spans="1:9" ht="16.2" thickTop="1" thickBot="1" x14ac:dyDescent="0.3">
      <c r="A58" s="1165"/>
      <c r="B58" s="1166"/>
      <c r="C58" s="1166"/>
      <c r="D58" s="1166"/>
      <c r="E58" s="1166"/>
      <c r="F58" s="1166"/>
      <c r="G58" s="1167"/>
      <c r="H58" s="1168"/>
      <c r="I58" s="1170"/>
    </row>
    <row r="59" spans="1:9" ht="15.6" thickTop="1" x14ac:dyDescent="0.25">
      <c r="A59" s="1163" t="s">
        <v>587</v>
      </c>
      <c r="B59" s="1164"/>
      <c r="C59" s="1153"/>
      <c r="D59" s="1153"/>
      <c r="E59" s="1153"/>
      <c r="F59" s="1153"/>
      <c r="G59" s="1157"/>
      <c r="H59" s="1153"/>
      <c r="I59" s="1158"/>
    </row>
    <row r="60" spans="1:9" ht="27.6" x14ac:dyDescent="0.25">
      <c r="A60" s="925" t="s">
        <v>362</v>
      </c>
      <c r="B60" s="673" t="s">
        <v>3</v>
      </c>
      <c r="C60" s="645" t="s">
        <v>36</v>
      </c>
      <c r="D60" s="646" t="s">
        <v>20</v>
      </c>
      <c r="E60" s="646" t="s">
        <v>37</v>
      </c>
      <c r="F60" s="647" t="s">
        <v>38</v>
      </c>
      <c r="G60" s="655" t="s">
        <v>7</v>
      </c>
      <c r="H60" s="646" t="s">
        <v>316</v>
      </c>
      <c r="I60" s="650" t="s">
        <v>39</v>
      </c>
    </row>
    <row r="61" spans="1:9" x14ac:dyDescent="0.25">
      <c r="A61" s="194"/>
      <c r="B61" s="914"/>
      <c r="C61" s="195"/>
      <c r="D61" s="196"/>
      <c r="E61" s="196"/>
      <c r="F61" s="196"/>
      <c r="G61" s="652"/>
      <c r="H61" s="1257"/>
      <c r="I61" s="1243">
        <f t="shared" ref="I61:I74" si="3">G61*H61</f>
        <v>0</v>
      </c>
    </row>
    <row r="62" spans="1:9" x14ac:dyDescent="0.25">
      <c r="A62" s="197"/>
      <c r="B62" s="915"/>
      <c r="C62" s="198"/>
      <c r="D62" s="199"/>
      <c r="E62" s="199"/>
      <c r="F62" s="199"/>
      <c r="G62" s="653"/>
      <c r="H62" s="1258">
        <v>0</v>
      </c>
      <c r="I62" s="1245">
        <f t="shared" si="3"/>
        <v>0</v>
      </c>
    </row>
    <row r="63" spans="1:9" x14ac:dyDescent="0.25">
      <c r="A63" s="200"/>
      <c r="B63" s="916"/>
      <c r="C63" s="198"/>
      <c r="D63" s="199"/>
      <c r="E63" s="199"/>
      <c r="F63" s="199"/>
      <c r="G63" s="653"/>
      <c r="H63" s="1258">
        <v>0</v>
      </c>
      <c r="I63" s="1245">
        <f t="shared" si="3"/>
        <v>0</v>
      </c>
    </row>
    <row r="64" spans="1:9" x14ac:dyDescent="0.25">
      <c r="A64" s="200"/>
      <c r="B64" s="916"/>
      <c r="C64" s="198"/>
      <c r="D64" s="199"/>
      <c r="E64" s="199"/>
      <c r="F64" s="199"/>
      <c r="G64" s="653"/>
      <c r="H64" s="1258">
        <v>0</v>
      </c>
      <c r="I64" s="1245">
        <f t="shared" si="3"/>
        <v>0</v>
      </c>
    </row>
    <row r="65" spans="1:12" x14ac:dyDescent="0.25">
      <c r="A65" s="200"/>
      <c r="B65" s="916"/>
      <c r="C65" s="198"/>
      <c r="D65" s="199"/>
      <c r="E65" s="199"/>
      <c r="F65" s="199"/>
      <c r="G65" s="653"/>
      <c r="H65" s="1258">
        <v>0</v>
      </c>
      <c r="I65" s="1245">
        <f t="shared" si="3"/>
        <v>0</v>
      </c>
    </row>
    <row r="66" spans="1:12" x14ac:dyDescent="0.25">
      <c r="A66" s="200"/>
      <c r="B66" s="916"/>
      <c r="C66" s="198"/>
      <c r="D66" s="199"/>
      <c r="E66" s="199"/>
      <c r="F66" s="199"/>
      <c r="G66" s="653"/>
      <c r="H66" s="1258">
        <v>0</v>
      </c>
      <c r="I66" s="1245">
        <f t="shared" si="3"/>
        <v>0</v>
      </c>
    </row>
    <row r="67" spans="1:12" x14ac:dyDescent="0.25">
      <c r="A67" s="200"/>
      <c r="B67" s="916"/>
      <c r="C67" s="198"/>
      <c r="D67" s="199"/>
      <c r="E67" s="199"/>
      <c r="F67" s="199"/>
      <c r="G67" s="653"/>
      <c r="H67" s="1258">
        <v>0</v>
      </c>
      <c r="I67" s="1245">
        <f t="shared" si="3"/>
        <v>0</v>
      </c>
    </row>
    <row r="68" spans="1:12" x14ac:dyDescent="0.25">
      <c r="A68" s="200"/>
      <c r="B68" s="916"/>
      <c r="C68" s="198"/>
      <c r="D68" s="199"/>
      <c r="E68" s="199"/>
      <c r="F68" s="199"/>
      <c r="G68" s="653"/>
      <c r="H68" s="1258">
        <v>0</v>
      </c>
      <c r="I68" s="1245">
        <f t="shared" si="3"/>
        <v>0</v>
      </c>
    </row>
    <row r="69" spans="1:12" x14ac:dyDescent="0.25">
      <c r="A69" s="200"/>
      <c r="B69" s="916"/>
      <c r="C69" s="198"/>
      <c r="D69" s="199"/>
      <c r="E69" s="199"/>
      <c r="F69" s="199"/>
      <c r="G69" s="653"/>
      <c r="H69" s="1258">
        <v>0</v>
      </c>
      <c r="I69" s="1245">
        <f t="shared" si="3"/>
        <v>0</v>
      </c>
    </row>
    <row r="70" spans="1:12" x14ac:dyDescent="0.25">
      <c r="A70" s="200"/>
      <c r="B70" s="916"/>
      <c r="C70" s="198"/>
      <c r="D70" s="199"/>
      <c r="E70" s="199"/>
      <c r="F70" s="199"/>
      <c r="G70" s="653"/>
      <c r="H70" s="1258">
        <v>0</v>
      </c>
      <c r="I70" s="1245">
        <f t="shared" si="3"/>
        <v>0</v>
      </c>
    </row>
    <row r="71" spans="1:12" x14ac:dyDescent="0.25">
      <c r="A71" s="200"/>
      <c r="B71" s="916"/>
      <c r="C71" s="198"/>
      <c r="D71" s="199"/>
      <c r="E71" s="199"/>
      <c r="F71" s="199"/>
      <c r="G71" s="653"/>
      <c r="H71" s="1244"/>
      <c r="I71" s="1245">
        <f t="shared" si="3"/>
        <v>0</v>
      </c>
    </row>
    <row r="72" spans="1:12" x14ac:dyDescent="0.25">
      <c r="A72" s="200"/>
      <c r="B72" s="916"/>
      <c r="C72" s="198"/>
      <c r="D72" s="199"/>
      <c r="E72" s="199"/>
      <c r="F72" s="199"/>
      <c r="G72" s="653"/>
      <c r="H72" s="1244"/>
      <c r="I72" s="1245">
        <f t="shared" si="3"/>
        <v>0</v>
      </c>
    </row>
    <row r="73" spans="1:12" x14ac:dyDescent="0.25">
      <c r="A73" s="210"/>
      <c r="B73" s="921"/>
      <c r="C73" s="211"/>
      <c r="D73" s="212"/>
      <c r="E73" s="212"/>
      <c r="F73" s="212"/>
      <c r="G73" s="653"/>
      <c r="H73" s="1244"/>
      <c r="I73" s="1246">
        <f t="shared" si="3"/>
        <v>0</v>
      </c>
    </row>
    <row r="74" spans="1:12" ht="15.6" thickBot="1" x14ac:dyDescent="0.3">
      <c r="A74" s="213"/>
      <c r="B74" s="922"/>
      <c r="C74" s="214"/>
      <c r="D74" s="215"/>
      <c r="E74" s="215"/>
      <c r="F74" s="215"/>
      <c r="G74" s="656"/>
      <c r="H74" s="1247"/>
      <c r="I74" s="1248">
        <f t="shared" si="3"/>
        <v>0</v>
      </c>
    </row>
    <row r="75" spans="1:12" ht="15.6" thickTop="1" x14ac:dyDescent="0.25">
      <c r="A75" s="201"/>
      <c r="B75" s="202"/>
      <c r="C75" s="202"/>
      <c r="D75" s="202"/>
      <c r="E75" s="202"/>
      <c r="F75" s="332"/>
      <c r="G75" s="332"/>
      <c r="H75" s="332" t="s">
        <v>145</v>
      </c>
      <c r="I75" s="1259">
        <f>SUM(I61:I74)</f>
        <v>0</v>
      </c>
    </row>
    <row r="76" spans="1:12" x14ac:dyDescent="0.25">
      <c r="A76" s="188"/>
      <c r="B76" s="188"/>
      <c r="C76" s="188"/>
      <c r="D76" s="188"/>
      <c r="E76" s="188"/>
      <c r="F76" s="333"/>
      <c r="G76" s="333"/>
      <c r="H76" s="333" t="s">
        <v>253</v>
      </c>
      <c r="I76" s="1260"/>
    </row>
    <row r="77" spans="1:12" x14ac:dyDescent="0.25">
      <c r="A77" s="188"/>
      <c r="B77" s="188"/>
      <c r="C77" s="188"/>
      <c r="D77" s="188"/>
      <c r="E77" s="188"/>
      <c r="F77" s="333"/>
      <c r="G77" s="334"/>
      <c r="H77" s="335" t="s">
        <v>216</v>
      </c>
      <c r="I77" s="1261">
        <f>I56+I75</f>
        <v>0</v>
      </c>
      <c r="K77" s="117"/>
      <c r="L77" s="331"/>
    </row>
    <row r="78" spans="1:12" ht="15.6" thickBot="1" x14ac:dyDescent="0.3">
      <c r="A78" s="298"/>
      <c r="B78" s="298"/>
      <c r="C78" s="298"/>
      <c r="D78" s="298"/>
      <c r="E78" s="298"/>
      <c r="F78" s="336"/>
      <c r="G78" s="336"/>
      <c r="H78" s="337" t="s">
        <v>253</v>
      </c>
      <c r="I78" s="1262">
        <f>I38+I23+I57+I76</f>
        <v>0</v>
      </c>
    </row>
    <row r="79" spans="1:12" ht="15.6" thickTop="1" x14ac:dyDescent="0.25"/>
  </sheetData>
  <mergeCells count="4">
    <mergeCell ref="C3:D3"/>
    <mergeCell ref="G5:I5"/>
    <mergeCell ref="G6:I6"/>
    <mergeCell ref="G7:I7"/>
  </mergeCells>
  <phoneticPr fontId="33" type="noConversion"/>
  <printOptions horizontalCentered="1"/>
  <pageMargins left="0.55118110236220474" right="0.55118110236220474" top="0.78740157480314965" bottom="0.78740157480314965" header="0.51181102362204722" footer="0.51181102362204722"/>
  <pageSetup paperSize="9" scale="75"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D1" workbookViewId="0">
      <selection activeCell="M43" sqref="M43"/>
    </sheetView>
  </sheetViews>
  <sheetFormatPr defaultRowHeight="15" x14ac:dyDescent="0.25"/>
  <sheetData>
    <row r="1" spans="1:15" ht="15.6" thickTop="1" x14ac:dyDescent="0.25">
      <c r="A1" s="1111"/>
      <c r="B1" s="1435"/>
      <c r="C1" s="1435"/>
      <c r="D1" s="1436" t="s">
        <v>474</v>
      </c>
      <c r="E1" s="1437"/>
      <c r="F1" s="1437"/>
      <c r="G1" s="1435"/>
      <c r="H1" s="1435"/>
      <c r="I1" s="1435"/>
      <c r="J1" s="1435"/>
      <c r="K1" s="1435"/>
      <c r="L1" s="1435"/>
      <c r="M1" s="1438" t="s">
        <v>475</v>
      </c>
      <c r="N1" s="1439"/>
      <c r="O1" s="1438"/>
    </row>
    <row r="2" spans="1:15" x14ac:dyDescent="0.25">
      <c r="A2" s="1112"/>
      <c r="B2" s="1440"/>
      <c r="C2" s="1441"/>
      <c r="D2" s="1441" t="s">
        <v>476</v>
      </c>
      <c r="E2" s="1441"/>
      <c r="F2" s="1441"/>
      <c r="G2" s="1441"/>
      <c r="H2" s="1441"/>
      <c r="I2" s="1441"/>
      <c r="J2" s="1441"/>
      <c r="K2" s="1441"/>
      <c r="L2" s="1441"/>
      <c r="M2" s="1441"/>
      <c r="N2" s="1440" t="s">
        <v>477</v>
      </c>
      <c r="O2" s="1442"/>
    </row>
    <row r="3" spans="1:15" x14ac:dyDescent="0.25">
      <c r="A3" s="1112"/>
      <c r="B3" s="1440"/>
      <c r="C3" s="1441"/>
      <c r="D3" s="1441"/>
      <c r="E3" s="1441"/>
      <c r="F3" s="1441"/>
      <c r="G3" s="1441"/>
      <c r="H3" s="1441"/>
      <c r="I3" s="1441"/>
      <c r="J3" s="1441"/>
      <c r="K3" s="1441"/>
      <c r="L3" s="1441"/>
      <c r="M3" s="1441"/>
      <c r="N3" s="1441"/>
      <c r="O3" s="1442"/>
    </row>
    <row r="4" spans="1:15" x14ac:dyDescent="0.25">
      <c r="A4" s="1112"/>
      <c r="B4" s="1440"/>
      <c r="C4" s="1441"/>
      <c r="D4" s="1441"/>
      <c r="E4" s="1443" t="s">
        <v>478</v>
      </c>
      <c r="F4" s="1441"/>
      <c r="G4" s="1441"/>
      <c r="H4" s="1441"/>
      <c r="I4" s="1444" t="s">
        <v>424</v>
      </c>
      <c r="J4" s="1445">
        <v>0</v>
      </c>
      <c r="K4" s="1441"/>
      <c r="L4" s="1441"/>
      <c r="M4" s="1446" t="s">
        <v>479</v>
      </c>
      <c r="N4" s="1441"/>
      <c r="O4" s="1447"/>
    </row>
    <row r="5" spans="1:15" x14ac:dyDescent="0.25">
      <c r="A5" s="1112"/>
      <c r="B5" s="1440"/>
      <c r="C5" s="1441"/>
      <c r="D5" s="1441"/>
      <c r="E5" s="2054" t="s">
        <v>203</v>
      </c>
      <c r="F5" s="2055"/>
      <c r="G5" s="2056">
        <v>0</v>
      </c>
      <c r="H5" s="2057"/>
      <c r="I5" s="1441"/>
      <c r="J5" s="1441"/>
      <c r="K5" s="1441"/>
      <c r="L5" s="1441"/>
      <c r="M5" s="1446" t="s">
        <v>480</v>
      </c>
      <c r="N5" s="2058"/>
      <c r="O5" s="2059"/>
    </row>
    <row r="6" spans="1:15" x14ac:dyDescent="0.25">
      <c r="A6" s="1113" t="s">
        <v>481</v>
      </c>
      <c r="B6" s="1440"/>
      <c r="C6" s="1448"/>
      <c r="D6" s="1449" t="s">
        <v>424</v>
      </c>
      <c r="E6" s="1450"/>
      <c r="F6" s="1450"/>
      <c r="G6" s="1450"/>
      <c r="H6" s="1450"/>
      <c r="I6" s="1450"/>
      <c r="J6" s="1450"/>
      <c r="K6" s="1450"/>
      <c r="L6" s="1450"/>
      <c r="M6" s="1450"/>
      <c r="N6" s="1441"/>
      <c r="O6" s="1442"/>
    </row>
    <row r="7" spans="1:15" x14ac:dyDescent="0.25">
      <c r="A7" s="1113" t="s">
        <v>482</v>
      </c>
      <c r="B7" s="1440"/>
      <c r="C7" s="1444"/>
      <c r="D7" s="1449" t="s">
        <v>424</v>
      </c>
      <c r="E7" s="1450"/>
      <c r="F7" s="1450"/>
      <c r="G7" s="1450"/>
      <c r="H7" s="1450"/>
      <c r="I7" s="1450"/>
      <c r="J7" s="1451"/>
      <c r="K7" s="1450"/>
      <c r="L7" s="1450"/>
      <c r="M7" s="1450"/>
      <c r="N7" s="1441"/>
      <c r="O7" s="1442"/>
    </row>
    <row r="8" spans="1:15" x14ac:dyDescent="0.25">
      <c r="A8" s="1112"/>
      <c r="B8" s="1440"/>
      <c r="C8" s="1441"/>
      <c r="D8" s="1440"/>
      <c r="E8" s="1440"/>
      <c r="F8" s="1440"/>
      <c r="G8" s="1440"/>
      <c r="H8" s="1440"/>
      <c r="I8" s="1440"/>
      <c r="J8" s="1452"/>
      <c r="K8" s="1440"/>
      <c r="L8" s="1440"/>
      <c r="M8" s="1440"/>
      <c r="N8" s="1440"/>
      <c r="O8" s="1442"/>
    </row>
    <row r="9" spans="1:15" x14ac:dyDescent="0.25">
      <c r="A9" s="1113" t="s">
        <v>483</v>
      </c>
      <c r="B9" s="1440"/>
      <c r="C9" s="1449" t="s">
        <v>484</v>
      </c>
      <c r="D9" s="1441"/>
      <c r="E9" s="1441"/>
      <c r="F9" s="1441"/>
      <c r="G9" s="1441"/>
      <c r="H9" s="1440"/>
      <c r="I9" s="1440"/>
      <c r="J9" s="1441"/>
      <c r="K9" s="1441"/>
      <c r="L9" s="1441"/>
      <c r="M9" s="1441"/>
      <c r="N9" s="1441"/>
      <c r="O9" s="1442"/>
    </row>
    <row r="10" spans="1:15" x14ac:dyDescent="0.25">
      <c r="A10" s="1114" t="s">
        <v>485</v>
      </c>
      <c r="B10" s="1453"/>
      <c r="C10" s="1454"/>
      <c r="D10" s="1454"/>
      <c r="E10" s="1454"/>
      <c r="F10" s="1454"/>
      <c r="G10" s="1454"/>
      <c r="H10" s="1455" t="s">
        <v>486</v>
      </c>
      <c r="I10" s="1456"/>
      <c r="J10" s="1457" t="s">
        <v>487</v>
      </c>
      <c r="K10" s="1458" t="s">
        <v>488</v>
      </c>
      <c r="L10" s="1459"/>
      <c r="M10" s="1460"/>
      <c r="N10" s="1461" t="s">
        <v>489</v>
      </c>
      <c r="O10" s="1462" t="s">
        <v>490</v>
      </c>
    </row>
    <row r="11" spans="1:15" x14ac:dyDescent="0.25">
      <c r="A11" s="1115"/>
      <c r="B11" s="1463"/>
      <c r="C11" s="1464"/>
      <c r="D11" s="1465" t="s">
        <v>491</v>
      </c>
      <c r="E11" s="1466"/>
      <c r="F11" s="1467" t="s">
        <v>379</v>
      </c>
      <c r="G11" s="1468"/>
      <c r="H11" s="1469" t="s">
        <v>492</v>
      </c>
      <c r="I11" s="1440"/>
      <c r="J11" s="1470" t="s">
        <v>493</v>
      </c>
      <c r="K11" s="1471" t="s">
        <v>494</v>
      </c>
      <c r="L11" s="1463" t="s">
        <v>495</v>
      </c>
      <c r="M11" s="1457" t="s">
        <v>496</v>
      </c>
      <c r="N11" s="1472" t="s">
        <v>497</v>
      </c>
      <c r="O11" s="1473" t="s">
        <v>498</v>
      </c>
    </row>
    <row r="12" spans="1:15" x14ac:dyDescent="0.25">
      <c r="A12" s="1116"/>
      <c r="B12" s="2060" t="s">
        <v>3</v>
      </c>
      <c r="C12" s="2061"/>
      <c r="D12" s="1474" t="s">
        <v>499</v>
      </c>
      <c r="E12" s="1475"/>
      <c r="F12" s="1476" t="s">
        <v>499</v>
      </c>
      <c r="G12" s="1475"/>
      <c r="H12" s="2060" t="s">
        <v>500</v>
      </c>
      <c r="I12" s="2062"/>
      <c r="J12" s="1477" t="s">
        <v>501</v>
      </c>
      <c r="K12" s="1478" t="s">
        <v>502</v>
      </c>
      <c r="L12" s="1476" t="s">
        <v>503</v>
      </c>
      <c r="M12" s="1479" t="s">
        <v>504</v>
      </c>
      <c r="N12" s="1477" t="s">
        <v>505</v>
      </c>
      <c r="O12" s="1480" t="s">
        <v>506</v>
      </c>
    </row>
    <row r="13" spans="1:15" x14ac:dyDescent="0.25">
      <c r="A13" s="1117" t="s">
        <v>507</v>
      </c>
      <c r="B13" s="1481"/>
      <c r="C13" s="1482"/>
      <c r="D13" s="2063"/>
      <c r="E13" s="2064"/>
      <c r="F13" s="1481"/>
      <c r="G13" s="1482"/>
      <c r="H13" s="1483"/>
      <c r="I13" s="1484"/>
      <c r="J13" s="1485"/>
      <c r="K13" s="1486"/>
      <c r="L13" s="1487"/>
      <c r="M13" s="1488"/>
      <c r="N13" s="1482"/>
      <c r="O13" s="1489"/>
    </row>
    <row r="14" spans="1:15" x14ac:dyDescent="0.25">
      <c r="A14" s="1118" t="s">
        <v>508</v>
      </c>
      <c r="B14" s="1490"/>
      <c r="C14" s="1491"/>
      <c r="D14" s="1478"/>
      <c r="E14" s="1492"/>
      <c r="F14" s="1490"/>
      <c r="G14" s="1491"/>
      <c r="H14" s="1493"/>
      <c r="I14" s="1494"/>
      <c r="J14" s="1495"/>
      <c r="K14" s="1496"/>
      <c r="L14" s="1496"/>
      <c r="M14" s="1497"/>
      <c r="N14" s="1477"/>
      <c r="O14" s="1498"/>
    </row>
    <row r="15" spans="1:15" x14ac:dyDescent="0.25">
      <c r="A15" s="1119"/>
      <c r="B15" s="1499"/>
      <c r="C15" s="1440"/>
      <c r="D15" s="1472"/>
      <c r="E15" s="1500"/>
      <c r="F15" s="1499"/>
      <c r="G15" s="1440"/>
      <c r="H15" s="1440"/>
      <c r="I15" s="1440"/>
      <c r="J15" s="1448" t="s">
        <v>347</v>
      </c>
      <c r="K15" s="1472" t="s">
        <v>349</v>
      </c>
      <c r="L15" s="1448" t="s">
        <v>351</v>
      </c>
      <c r="M15" s="1472" t="s">
        <v>353</v>
      </c>
      <c r="N15" s="1440"/>
      <c r="O15" s="1501" t="s">
        <v>7</v>
      </c>
    </row>
    <row r="16" spans="1:15" ht="15.6" thickBot="1" x14ac:dyDescent="0.3">
      <c r="A16" s="1112" t="s">
        <v>405</v>
      </c>
      <c r="B16" s="1499"/>
      <c r="C16" s="1440"/>
      <c r="D16" s="1472"/>
      <c r="E16" s="1500"/>
      <c r="F16" s="1499"/>
      <c r="G16" s="1440"/>
      <c r="H16" s="1440"/>
      <c r="I16" s="1440"/>
      <c r="J16" s="1449" t="s">
        <v>509</v>
      </c>
      <c r="K16" s="1440"/>
      <c r="L16" s="1502"/>
      <c r="M16" s="1449"/>
      <c r="N16" s="1440"/>
      <c r="O16" s="1503">
        <f>J13+J14+K13+K14+L13+L14+M13+M14</f>
        <v>0</v>
      </c>
    </row>
    <row r="17" spans="1:15" x14ac:dyDescent="0.25">
      <c r="A17" s="1112" t="s">
        <v>406</v>
      </c>
      <c r="B17" s="1499"/>
      <c r="C17" s="1440"/>
      <c r="D17" s="1472"/>
      <c r="E17" s="1504"/>
      <c r="F17" s="1499"/>
      <c r="G17" s="1440"/>
      <c r="H17" s="1440"/>
      <c r="I17" s="1440"/>
      <c r="J17" s="1472"/>
      <c r="K17" s="1505"/>
      <c r="L17" s="1506"/>
      <c r="M17" s="1507"/>
      <c r="N17" s="1508" t="s">
        <v>510</v>
      </c>
      <c r="O17" s="1509" t="s">
        <v>7</v>
      </c>
    </row>
    <row r="18" spans="1:15" ht="15.6" thickBot="1" x14ac:dyDescent="0.3">
      <c r="A18" s="1120" t="s">
        <v>407</v>
      </c>
      <c r="B18" s="1510"/>
      <c r="C18" s="1511"/>
      <c r="D18" s="1512"/>
      <c r="E18" s="1513"/>
      <c r="F18" s="1510"/>
      <c r="G18" s="1511"/>
      <c r="H18" s="1511"/>
      <c r="I18" s="1511"/>
      <c r="J18" s="1512"/>
      <c r="K18" s="1514" t="s">
        <v>511</v>
      </c>
      <c r="L18" s="1513"/>
      <c r="M18" s="1512"/>
      <c r="N18" s="1515">
        <v>0</v>
      </c>
      <c r="O18" s="1516"/>
    </row>
    <row r="19" spans="1:15" ht="15.6" thickTop="1" x14ac:dyDescent="0.25">
      <c r="A19" s="1112"/>
      <c r="B19" s="1499"/>
      <c r="C19" s="1440"/>
      <c r="D19" s="1472"/>
      <c r="E19" s="1504"/>
      <c r="F19" s="1499"/>
      <c r="G19" s="1440"/>
      <c r="H19" s="1440"/>
      <c r="I19" s="1440"/>
      <c r="J19" s="1472"/>
      <c r="K19" s="1499"/>
      <c r="L19" s="1504"/>
      <c r="M19" s="1472"/>
      <c r="N19" s="1472"/>
      <c r="O19" s="1517"/>
    </row>
    <row r="20" spans="1:15" x14ac:dyDescent="0.25">
      <c r="A20" s="1114" t="s">
        <v>512</v>
      </c>
      <c r="B20" s="1454"/>
      <c r="C20" s="1453"/>
      <c r="D20" s="1454"/>
      <c r="E20" s="1454"/>
      <c r="F20" s="1454"/>
      <c r="G20" s="1454"/>
      <c r="H20" s="1454"/>
      <c r="I20" s="1454"/>
      <c r="J20" s="1454"/>
      <c r="K20" s="1454"/>
      <c r="L20" s="1454"/>
      <c r="M20" s="1454"/>
      <c r="N20" s="1454"/>
      <c r="O20" s="1518"/>
    </row>
    <row r="21" spans="1:15" x14ac:dyDescent="0.25">
      <c r="A21" s="1121"/>
      <c r="B21" s="1453" t="s">
        <v>513</v>
      </c>
      <c r="C21" s="1491"/>
      <c r="D21" s="1454"/>
      <c r="E21" s="1454"/>
      <c r="F21" s="1454"/>
      <c r="G21" s="1454"/>
      <c r="H21" s="1519"/>
      <c r="I21" s="1453" t="s">
        <v>514</v>
      </c>
      <c r="J21" s="1454"/>
      <c r="K21" s="1453"/>
      <c r="L21" s="1454"/>
      <c r="M21" s="1520" t="s">
        <v>515</v>
      </c>
      <c r="N21" s="1458"/>
      <c r="O21" s="1521"/>
    </row>
    <row r="22" spans="1:15" x14ac:dyDescent="0.25">
      <c r="A22" s="1122" t="s">
        <v>516</v>
      </c>
      <c r="B22" s="1475"/>
      <c r="C22" s="1522"/>
      <c r="D22" s="1523" t="s">
        <v>517</v>
      </c>
      <c r="E22" s="1475"/>
      <c r="F22" s="1477"/>
      <c r="G22" s="1477"/>
      <c r="H22" s="1524" t="s">
        <v>518</v>
      </c>
      <c r="I22" s="1454"/>
      <c r="J22" s="1454"/>
      <c r="K22" s="1525" t="s">
        <v>519</v>
      </c>
      <c r="L22" s="1454"/>
      <c r="M22" s="1526" t="s">
        <v>520</v>
      </c>
      <c r="N22" s="1527" t="s">
        <v>511</v>
      </c>
      <c r="O22" s="1528"/>
    </row>
    <row r="23" spans="1:15" x14ac:dyDescent="0.25">
      <c r="A23" s="1118" t="s">
        <v>502</v>
      </c>
      <c r="B23" s="1523" t="s">
        <v>3</v>
      </c>
      <c r="C23" s="1475"/>
      <c r="D23" s="1523" t="s">
        <v>502</v>
      </c>
      <c r="E23" s="1475"/>
      <c r="F23" s="1529" t="s">
        <v>3</v>
      </c>
      <c r="G23" s="1477"/>
      <c r="H23" s="2065" t="s">
        <v>502</v>
      </c>
      <c r="I23" s="2066"/>
      <c r="J23" s="1529" t="s">
        <v>3</v>
      </c>
      <c r="K23" s="1529" t="s">
        <v>502</v>
      </c>
      <c r="L23" s="1529" t="s">
        <v>3</v>
      </c>
      <c r="M23" s="1530" t="s">
        <v>502</v>
      </c>
      <c r="N23" s="1531" t="s">
        <v>510</v>
      </c>
      <c r="O23" s="1532" t="s">
        <v>521</v>
      </c>
    </row>
    <row r="24" spans="1:15" x14ac:dyDescent="0.25">
      <c r="A24" s="1123"/>
      <c r="B24" s="1533"/>
      <c r="C24" s="1450"/>
      <c r="D24" s="1534"/>
      <c r="E24" s="1535"/>
      <c r="F24" s="1533"/>
      <c r="G24" s="1450"/>
      <c r="H24" s="1536"/>
      <c r="I24" s="1537"/>
      <c r="J24" s="1538"/>
      <c r="K24" s="1533"/>
      <c r="L24" s="1538"/>
      <c r="M24" s="1539"/>
      <c r="N24" s="1540"/>
      <c r="O24" s="1541"/>
    </row>
    <row r="25" spans="1:15" x14ac:dyDescent="0.25">
      <c r="A25" s="1123"/>
      <c r="B25" s="1533"/>
      <c r="C25" s="1450"/>
      <c r="D25" s="1534"/>
      <c r="E25" s="1535"/>
      <c r="F25" s="1533"/>
      <c r="G25" s="1450"/>
      <c r="H25" s="1536"/>
      <c r="I25" s="1537"/>
      <c r="J25" s="1538"/>
      <c r="K25" s="1533"/>
      <c r="L25" s="1538"/>
      <c r="M25" s="1539"/>
      <c r="N25" s="1540"/>
      <c r="O25" s="1541"/>
    </row>
    <row r="26" spans="1:15" x14ac:dyDescent="0.25">
      <c r="A26" s="1124"/>
      <c r="B26" s="1490"/>
      <c r="C26" s="1491"/>
      <c r="D26" s="1542"/>
      <c r="E26" s="1543"/>
      <c r="F26" s="1490"/>
      <c r="G26" s="1491"/>
      <c r="H26" s="1536"/>
      <c r="I26" s="1494"/>
      <c r="J26" s="1544"/>
      <c r="K26" s="1490"/>
      <c r="L26" s="1544"/>
      <c r="M26" s="1545"/>
      <c r="N26" s="1477"/>
      <c r="O26" s="1546"/>
    </row>
    <row r="27" spans="1:15" ht="15.6" thickBot="1" x14ac:dyDescent="0.3">
      <c r="A27" s="1125"/>
      <c r="B27" s="1547"/>
      <c r="C27" s="1547"/>
      <c r="D27" s="1547"/>
      <c r="E27" s="1547"/>
      <c r="F27" s="1547"/>
      <c r="G27" s="1547"/>
      <c r="H27" s="1548"/>
      <c r="I27" s="1547"/>
      <c r="J27" s="1547"/>
      <c r="K27" s="1547"/>
      <c r="L27" s="1549" t="s">
        <v>522</v>
      </c>
      <c r="M27" s="1550"/>
      <c r="N27" s="1551"/>
      <c r="O27" s="1552"/>
    </row>
    <row r="28" spans="1:15" ht="15.6" thickTop="1" x14ac:dyDescent="0.25">
      <c r="A28" s="1112"/>
      <c r="B28" s="1440"/>
      <c r="C28" s="1441"/>
      <c r="D28" s="1441"/>
      <c r="E28" s="1441"/>
      <c r="F28" s="1441"/>
      <c r="G28" s="1441"/>
      <c r="H28" s="1449"/>
      <c r="I28" s="1440"/>
      <c r="J28" s="1448"/>
      <c r="K28" s="1472"/>
      <c r="L28" s="1448"/>
      <c r="M28" s="1472"/>
      <c r="N28" s="1440"/>
      <c r="O28" s="1442"/>
    </row>
    <row r="29" spans="1:15" x14ac:dyDescent="0.25">
      <c r="A29" s="1113" t="s">
        <v>523</v>
      </c>
      <c r="B29" s="1440"/>
      <c r="C29" s="1491"/>
      <c r="D29" s="1441"/>
      <c r="E29" s="1441"/>
      <c r="F29" s="1441"/>
      <c r="G29" s="1441"/>
      <c r="H29" s="1441"/>
      <c r="I29" s="1441"/>
      <c r="J29" s="1441"/>
      <c r="K29" s="1441"/>
      <c r="L29" s="1441"/>
      <c r="M29" s="1441"/>
      <c r="N29" s="1441"/>
      <c r="O29" s="1442"/>
    </row>
    <row r="30" spans="1:15" x14ac:dyDescent="0.25">
      <c r="A30" s="1114" t="s">
        <v>524</v>
      </c>
      <c r="B30" s="1453"/>
      <c r="C30" s="1491"/>
      <c r="D30" s="1454"/>
      <c r="E30" s="1454"/>
      <c r="F30" s="1454"/>
      <c r="G30" s="1553"/>
      <c r="H30" s="1440"/>
      <c r="I30" s="1441"/>
      <c r="J30" s="1525" t="s">
        <v>525</v>
      </c>
      <c r="K30" s="1554"/>
      <c r="L30" s="1454"/>
      <c r="M30" s="1454"/>
      <c r="N30" s="1454"/>
      <c r="O30" s="1555"/>
    </row>
    <row r="31" spans="1:15" x14ac:dyDescent="0.25">
      <c r="A31" s="1122" t="s">
        <v>526</v>
      </c>
      <c r="B31" s="1475"/>
      <c r="C31" s="1556"/>
      <c r="D31" s="1443" t="s">
        <v>527</v>
      </c>
      <c r="E31" s="1441"/>
      <c r="F31" s="1557" t="s">
        <v>528</v>
      </c>
      <c r="G31" s="1558"/>
      <c r="H31" s="1440"/>
      <c r="I31" s="1441"/>
      <c r="J31" s="1525" t="s">
        <v>529</v>
      </c>
      <c r="K31" s="1454"/>
      <c r="L31" s="1454"/>
      <c r="M31" s="1454"/>
      <c r="N31" s="1454"/>
      <c r="O31" s="1559" t="s">
        <v>530</v>
      </c>
    </row>
    <row r="32" spans="1:15" x14ac:dyDescent="0.25">
      <c r="A32" s="1118" t="s">
        <v>510</v>
      </c>
      <c r="B32" s="1560" t="s">
        <v>531</v>
      </c>
      <c r="C32" s="1561"/>
      <c r="D32" s="1562" t="s">
        <v>409</v>
      </c>
      <c r="E32" s="1475"/>
      <c r="F32" s="1563" t="s">
        <v>532</v>
      </c>
      <c r="G32" s="1494"/>
      <c r="H32" s="1472"/>
      <c r="I32" s="1441"/>
      <c r="J32" s="1563" t="s">
        <v>533</v>
      </c>
      <c r="K32" s="1491"/>
      <c r="L32" s="1564"/>
      <c r="M32" s="1565"/>
      <c r="N32" s="1565"/>
      <c r="O32" s="1566"/>
    </row>
    <row r="33" spans="1:15" x14ac:dyDescent="0.25">
      <c r="A33" s="1127">
        <v>0</v>
      </c>
      <c r="B33" s="1567"/>
      <c r="C33" s="1568"/>
      <c r="D33" s="1569"/>
      <c r="E33" s="1570" t="s">
        <v>534</v>
      </c>
      <c r="F33" s="1571">
        <f>A33*D33</f>
        <v>0</v>
      </c>
      <c r="G33" s="1484"/>
      <c r="H33" s="1472"/>
      <c r="I33" s="1441"/>
      <c r="J33" s="1457" t="s">
        <v>4</v>
      </c>
      <c r="K33" s="1457" t="s">
        <v>4</v>
      </c>
      <c r="L33" s="1457" t="s">
        <v>535</v>
      </c>
      <c r="M33" s="1572" t="s">
        <v>4</v>
      </c>
      <c r="N33" s="1572" t="s">
        <v>536</v>
      </c>
      <c r="O33" s="1573" t="s">
        <v>537</v>
      </c>
    </row>
    <row r="34" spans="1:15" x14ac:dyDescent="0.25">
      <c r="A34" s="1128">
        <v>0</v>
      </c>
      <c r="B34" s="1574" t="s">
        <v>538</v>
      </c>
      <c r="C34" s="1575"/>
      <c r="D34" s="1576"/>
      <c r="E34" s="1577" t="s">
        <v>534</v>
      </c>
      <c r="F34" s="1578">
        <f>A34*D34</f>
        <v>0</v>
      </c>
      <c r="G34" s="1537"/>
      <c r="H34" s="1440"/>
      <c r="I34" s="1441"/>
      <c r="J34" s="1479" t="s">
        <v>539</v>
      </c>
      <c r="K34" s="1479" t="s">
        <v>540</v>
      </c>
      <c r="L34" s="1479" t="s">
        <v>541</v>
      </c>
      <c r="M34" s="1531" t="s">
        <v>521</v>
      </c>
      <c r="N34" s="1531" t="s">
        <v>409</v>
      </c>
      <c r="O34" s="1579" t="s">
        <v>532</v>
      </c>
    </row>
    <row r="35" spans="1:15" x14ac:dyDescent="0.25">
      <c r="A35" s="1129"/>
      <c r="B35" s="1580">
        <v>0</v>
      </c>
      <c r="C35" s="1581" t="s">
        <v>542</v>
      </c>
      <c r="D35" s="1582"/>
      <c r="E35" s="1583" t="s">
        <v>543</v>
      </c>
      <c r="F35" s="1584">
        <f>B35*D35</f>
        <v>0</v>
      </c>
      <c r="G35" s="1581"/>
      <c r="H35" s="1440"/>
      <c r="I35" s="1441"/>
      <c r="J35" s="1585"/>
      <c r="K35" s="1586"/>
      <c r="L35" s="1587"/>
      <c r="M35" s="1588"/>
      <c r="N35" s="1589"/>
      <c r="O35" s="1590"/>
    </row>
    <row r="36" spans="1:15" x14ac:dyDescent="0.25">
      <c r="A36" s="1130" t="s">
        <v>538</v>
      </c>
      <c r="B36" s="1591">
        <v>0</v>
      </c>
      <c r="C36" s="1491" t="s">
        <v>542</v>
      </c>
      <c r="D36" s="1592"/>
      <c r="E36" s="1593" t="s">
        <v>543</v>
      </c>
      <c r="F36" s="1594">
        <f>B36*D36</f>
        <v>0</v>
      </c>
      <c r="G36" s="1494"/>
      <c r="H36" s="1440"/>
      <c r="I36" s="1441"/>
      <c r="J36" s="1495">
        <f>M27</f>
        <v>0</v>
      </c>
      <c r="K36" s="1595" t="s">
        <v>544</v>
      </c>
      <c r="L36" s="1495"/>
      <c r="M36" s="1497">
        <f>J36-L36</f>
        <v>0</v>
      </c>
      <c r="N36" s="1596"/>
      <c r="O36" s="1597">
        <f>M36*N36</f>
        <v>0</v>
      </c>
    </row>
    <row r="37" spans="1:15" ht="15.6" thickBot="1" x14ac:dyDescent="0.3">
      <c r="A37" s="1131"/>
      <c r="B37" s="1598"/>
      <c r="C37" s="1598"/>
      <c r="D37" s="1599" t="s">
        <v>545</v>
      </c>
      <c r="E37" s="1600"/>
      <c r="F37" s="1601">
        <f>SUM(F33:F36)</f>
        <v>0</v>
      </c>
      <c r="G37" s="1602"/>
      <c r="H37" s="1511"/>
      <c r="I37" s="1511"/>
      <c r="J37" s="1603"/>
      <c r="K37" s="1598"/>
      <c r="L37" s="1598"/>
      <c r="M37" s="1599" t="s">
        <v>546</v>
      </c>
      <c r="N37" s="1511"/>
      <c r="O37" s="1604">
        <f>SUM(O35:O36)</f>
        <v>0</v>
      </c>
    </row>
    <row r="38" spans="1:15" ht="15.6" thickTop="1" x14ac:dyDescent="0.25">
      <c r="A38" s="1112"/>
      <c r="B38" s="1440"/>
      <c r="C38" s="1441"/>
      <c r="D38" s="1449"/>
      <c r="E38" s="1440"/>
      <c r="F38" s="1605"/>
      <c r="G38" s="1440"/>
      <c r="H38" s="1441"/>
      <c r="I38" s="1441"/>
      <c r="J38" s="1441"/>
      <c r="K38" s="1441"/>
      <c r="L38" s="1441"/>
      <c r="M38" s="1441"/>
      <c r="N38" s="1441"/>
      <c r="O38" s="1442"/>
    </row>
    <row r="39" spans="1:15" x14ac:dyDescent="0.25">
      <c r="A39" s="1113" t="s">
        <v>547</v>
      </c>
      <c r="B39" s="1449"/>
      <c r="C39" s="1491"/>
      <c r="D39" s="1441"/>
      <c r="E39" s="1441"/>
      <c r="F39" s="1606"/>
      <c r="G39" s="1441"/>
      <c r="H39" s="1441"/>
      <c r="I39" s="1441"/>
      <c r="J39" s="1441"/>
      <c r="K39" s="1491"/>
      <c r="L39" s="1441"/>
      <c r="M39" s="1441"/>
      <c r="N39" s="1441"/>
      <c r="O39" s="1442"/>
    </row>
    <row r="40" spans="1:15" x14ac:dyDescent="0.25">
      <c r="A40" s="1132" t="s">
        <v>41</v>
      </c>
      <c r="B40" s="1607" t="s">
        <v>548</v>
      </c>
      <c r="C40" s="1608"/>
      <c r="D40" s="1465" t="s">
        <v>549</v>
      </c>
      <c r="E40" s="1464"/>
      <c r="F40" s="1455"/>
      <c r="G40" s="1609"/>
      <c r="H40" s="1607"/>
      <c r="I40" s="1609"/>
      <c r="J40" s="1610" t="s">
        <v>48</v>
      </c>
      <c r="K40" s="1611" t="s">
        <v>550</v>
      </c>
      <c r="L40" s="1610" t="s">
        <v>409</v>
      </c>
      <c r="M40" s="2067" t="s">
        <v>551</v>
      </c>
      <c r="N40" s="2068"/>
      <c r="O40" s="1612" t="s">
        <v>5</v>
      </c>
    </row>
    <row r="41" spans="1:15" x14ac:dyDescent="0.25">
      <c r="A41" s="1118" t="s">
        <v>42</v>
      </c>
      <c r="B41" s="1523" t="s">
        <v>552</v>
      </c>
      <c r="C41" s="1475"/>
      <c r="D41" s="1523" t="s">
        <v>552</v>
      </c>
      <c r="E41" s="1475"/>
      <c r="F41" s="1523" t="s">
        <v>553</v>
      </c>
      <c r="G41" s="1475"/>
      <c r="H41" s="1613" t="s">
        <v>4</v>
      </c>
      <c r="I41" s="1562" t="s">
        <v>530</v>
      </c>
      <c r="J41" s="1529" t="s">
        <v>11</v>
      </c>
      <c r="K41" s="1523" t="s">
        <v>554</v>
      </c>
      <c r="L41" s="1529" t="s">
        <v>555</v>
      </c>
      <c r="M41" s="1529" t="s">
        <v>236</v>
      </c>
      <c r="N41" s="1529" t="s">
        <v>556</v>
      </c>
      <c r="O41" s="1579" t="s">
        <v>557</v>
      </c>
    </row>
    <row r="42" spans="1:15" x14ac:dyDescent="0.25">
      <c r="A42" s="1133" t="s">
        <v>558</v>
      </c>
      <c r="B42" s="1458"/>
      <c r="C42" s="1608"/>
      <c r="D42" s="1458"/>
      <c r="E42" s="1608"/>
      <c r="F42" s="1458"/>
      <c r="G42" s="1608"/>
      <c r="H42" s="1614"/>
      <c r="I42" s="1608"/>
      <c r="J42" s="1471"/>
      <c r="K42" s="1471"/>
      <c r="L42" s="1615"/>
      <c r="M42" s="1616"/>
      <c r="N42" s="1458"/>
      <c r="O42" s="1617"/>
    </row>
    <row r="43" spans="1:15" x14ac:dyDescent="0.25">
      <c r="A43" s="1134" t="s">
        <v>559</v>
      </c>
      <c r="B43" s="1618"/>
      <c r="C43" s="1450" t="s">
        <v>530</v>
      </c>
      <c r="D43" s="1618"/>
      <c r="E43" s="1450" t="s">
        <v>530</v>
      </c>
      <c r="F43" s="1618"/>
      <c r="G43" s="1450" t="s">
        <v>530</v>
      </c>
      <c r="H43" s="1619">
        <f>B43+D43+F43</f>
        <v>0</v>
      </c>
      <c r="I43" s="1450" t="s">
        <v>530</v>
      </c>
      <c r="J43" s="1534" t="s">
        <v>560</v>
      </c>
      <c r="K43" s="1534"/>
      <c r="L43" s="1620"/>
      <c r="M43" s="1678">
        <f>IF('Input Data'!D28&lt;43191,14%,15%)</f>
        <v>0.15</v>
      </c>
      <c r="N43" s="1621"/>
      <c r="O43" s="1622">
        <f>H43*L43/100+N43/(1+M43)</f>
        <v>0</v>
      </c>
    </row>
    <row r="44" spans="1:15" x14ac:dyDescent="0.25">
      <c r="A44" s="1135"/>
      <c r="B44" s="1493"/>
      <c r="C44" s="1491"/>
      <c r="D44" s="1493"/>
      <c r="E44" s="1491"/>
      <c r="F44" s="1493"/>
      <c r="G44" s="1491"/>
      <c r="H44" s="1623"/>
      <c r="I44" s="1491"/>
      <c r="J44" s="1478" t="s">
        <v>561</v>
      </c>
      <c r="K44" s="1478"/>
      <c r="L44" s="1624"/>
      <c r="M44" s="1625"/>
      <c r="N44" s="1626">
        <f>N43/1.14</f>
        <v>0</v>
      </c>
      <c r="O44" s="1627"/>
    </row>
    <row r="45" spans="1:15" ht="15.6" thickBot="1" x14ac:dyDescent="0.3">
      <c r="A45" s="1131"/>
      <c r="B45" s="1598"/>
      <c r="C45" s="1598"/>
      <c r="D45" s="1598"/>
      <c r="E45" s="1598"/>
      <c r="F45" s="1598"/>
      <c r="G45" s="1598"/>
      <c r="H45" s="1628"/>
      <c r="I45" s="1598"/>
      <c r="J45" s="1598"/>
      <c r="K45" s="1629"/>
      <c r="L45" s="1547"/>
      <c r="M45" s="1599" t="s">
        <v>562</v>
      </c>
      <c r="N45" s="1600"/>
      <c r="O45" s="1630">
        <f>SUM(O42:O44)</f>
        <v>0</v>
      </c>
    </row>
    <row r="46" spans="1:15" ht="15.6" thickTop="1" x14ac:dyDescent="0.25">
      <c r="A46" s="1112"/>
      <c r="B46" s="1440"/>
      <c r="C46" s="1440"/>
      <c r="D46" s="1440"/>
      <c r="E46" s="1440"/>
      <c r="F46" s="1440"/>
      <c r="G46" s="1440"/>
      <c r="H46" s="1440"/>
      <c r="I46" s="1440"/>
      <c r="J46" s="1440"/>
      <c r="K46" s="1440"/>
      <c r="L46" s="1440"/>
      <c r="M46" s="1440"/>
      <c r="N46" s="1440"/>
      <c r="O46" s="1442"/>
    </row>
    <row r="47" spans="1:15" ht="15.6" thickBot="1" x14ac:dyDescent="0.3">
      <c r="A47" s="1136" t="s">
        <v>563</v>
      </c>
      <c r="B47" s="1631"/>
      <c r="C47" s="1632"/>
      <c r="D47" s="1632"/>
      <c r="E47" s="1632"/>
      <c r="F47" s="1632"/>
      <c r="G47" s="1632"/>
      <c r="H47" s="1632"/>
      <c r="I47" s="1632"/>
      <c r="J47" s="1632"/>
      <c r="K47" s="1632"/>
      <c r="L47" s="1632"/>
      <c r="M47" s="1632"/>
      <c r="N47" s="1511"/>
      <c r="O47" s="1442"/>
    </row>
    <row r="48" spans="1:15" ht="16.2" thickTop="1" thickBot="1" x14ac:dyDescent="0.3">
      <c r="A48" s="1137" t="s">
        <v>3</v>
      </c>
      <c r="B48" s="1633"/>
      <c r="C48" s="1633"/>
      <c r="D48" s="2069" t="s">
        <v>564</v>
      </c>
      <c r="E48" s="2070"/>
      <c r="F48" s="2071"/>
      <c r="G48" s="1634"/>
      <c r="H48" s="1635" t="s">
        <v>565</v>
      </c>
      <c r="I48" s="1634"/>
      <c r="J48" s="1636"/>
      <c r="K48" s="1637"/>
      <c r="L48" s="2069" t="s">
        <v>52</v>
      </c>
      <c r="M48" s="2072"/>
      <c r="N48" s="2073"/>
      <c r="O48" s="1638" t="s">
        <v>5</v>
      </c>
    </row>
    <row r="49" spans="1:15" x14ac:dyDescent="0.25">
      <c r="A49" s="1138"/>
      <c r="B49" s="1639"/>
      <c r="C49" s="1639"/>
      <c r="D49" s="1640" t="s">
        <v>302</v>
      </c>
      <c r="E49" s="1639"/>
      <c r="F49" s="1641"/>
      <c r="G49" s="1642"/>
      <c r="H49" s="1643"/>
      <c r="I49" s="1643"/>
      <c r="J49" s="1643"/>
      <c r="K49" s="1644"/>
      <c r="L49" s="1642"/>
      <c r="M49" s="1645"/>
      <c r="N49" s="1646"/>
      <c r="O49" s="1647">
        <v>0</v>
      </c>
    </row>
    <row r="50" spans="1:15" ht="15.6" thickBot="1" x14ac:dyDescent="0.3">
      <c r="A50" s="1139"/>
      <c r="B50" s="1648"/>
      <c r="C50" s="1632"/>
      <c r="D50" s="1649"/>
      <c r="E50" s="1632"/>
      <c r="F50" s="1650"/>
      <c r="G50" s="1649"/>
      <c r="H50" s="1632"/>
      <c r="I50" s="1632"/>
      <c r="J50" s="1632"/>
      <c r="K50" s="1650"/>
      <c r="L50" s="1651"/>
      <c r="M50" s="1600"/>
      <c r="N50" s="1602"/>
      <c r="O50" s="1652"/>
    </row>
    <row r="51" spans="1:15" ht="15.6" thickTop="1" x14ac:dyDescent="0.25">
      <c r="A51" s="1112"/>
      <c r="B51" s="1440"/>
      <c r="C51" s="1440"/>
      <c r="D51" s="1440"/>
      <c r="E51" s="1440"/>
      <c r="F51" s="1440"/>
      <c r="G51" s="1440"/>
      <c r="H51" s="1440"/>
      <c r="I51" s="1440"/>
      <c r="J51" s="1440"/>
      <c r="K51" s="1440"/>
      <c r="L51" s="1440"/>
      <c r="M51" s="1440"/>
      <c r="N51" s="1440"/>
      <c r="O51" s="1442"/>
    </row>
    <row r="52" spans="1:15" x14ac:dyDescent="0.25">
      <c r="A52" s="1140" t="s">
        <v>566</v>
      </c>
      <c r="B52" s="1491"/>
      <c r="C52" s="1491"/>
      <c r="D52" s="1491"/>
      <c r="E52" s="1491"/>
      <c r="F52" s="1491"/>
      <c r="G52" s="1491"/>
      <c r="H52" s="1491"/>
      <c r="I52" s="1491"/>
      <c r="J52" s="1491"/>
      <c r="K52" s="1491"/>
      <c r="L52" s="1491"/>
      <c r="M52" s="1491"/>
      <c r="N52" s="1491"/>
      <c r="O52" s="1653"/>
    </row>
    <row r="53" spans="1:15" x14ac:dyDescent="0.25">
      <c r="A53" s="1122" t="s">
        <v>3</v>
      </c>
      <c r="B53" s="1562"/>
      <c r="C53" s="1475"/>
      <c r="D53" s="1493"/>
      <c r="E53" s="1564" t="s">
        <v>567</v>
      </c>
      <c r="F53" s="1491"/>
      <c r="G53" s="1491"/>
      <c r="H53" s="1491"/>
      <c r="I53" s="1491"/>
      <c r="J53" s="1493"/>
      <c r="K53" s="1564" t="s">
        <v>52</v>
      </c>
      <c r="L53" s="1491"/>
      <c r="M53" s="1491"/>
      <c r="N53" s="1654" t="s">
        <v>4</v>
      </c>
      <c r="O53" s="1579" t="s">
        <v>5</v>
      </c>
    </row>
    <row r="54" spans="1:15" x14ac:dyDescent="0.25">
      <c r="A54" s="1112"/>
      <c r="B54" s="1441"/>
      <c r="C54" s="1441"/>
      <c r="D54" s="1469"/>
      <c r="E54" s="1441"/>
      <c r="F54" s="1441"/>
      <c r="G54" s="1655"/>
      <c r="H54" s="1441"/>
      <c r="I54" s="1441"/>
      <c r="J54" s="1469"/>
      <c r="K54" s="1441"/>
      <c r="L54" s="1441"/>
      <c r="M54" s="1441"/>
      <c r="N54" s="1625"/>
      <c r="O54" s="1656"/>
    </row>
    <row r="55" spans="1:15" x14ac:dyDescent="0.25">
      <c r="A55" s="1141"/>
      <c r="B55" s="1475"/>
      <c r="C55" s="1475"/>
      <c r="D55" s="1474"/>
      <c r="E55" s="1522"/>
      <c r="F55" s="1522"/>
      <c r="G55" s="1522"/>
      <c r="H55" s="1522"/>
      <c r="I55" s="1522"/>
      <c r="J55" s="1478"/>
      <c r="K55" s="1522"/>
      <c r="L55" s="1491"/>
      <c r="M55" s="1491"/>
      <c r="N55" s="1531">
        <v>4</v>
      </c>
      <c r="O55" s="1657">
        <v>0</v>
      </c>
    </row>
    <row r="56" spans="1:15" x14ac:dyDescent="0.25">
      <c r="A56" s="1142" t="s">
        <v>568</v>
      </c>
      <c r="B56" s="1658"/>
      <c r="C56" s="1491"/>
      <c r="D56" s="1469"/>
      <c r="E56" s="1659"/>
      <c r="F56" s="1659"/>
      <c r="G56" s="1468"/>
      <c r="H56" s="1468"/>
      <c r="I56" s="1468"/>
      <c r="J56" s="1458"/>
      <c r="K56" s="1468"/>
      <c r="L56" s="1468"/>
      <c r="M56" s="1608"/>
      <c r="N56" s="1616"/>
      <c r="O56" s="1612" t="s">
        <v>569</v>
      </c>
    </row>
    <row r="57" spans="1:15" x14ac:dyDescent="0.25">
      <c r="A57" s="1118" t="s">
        <v>570</v>
      </c>
      <c r="B57" s="1523" t="s">
        <v>508</v>
      </c>
      <c r="C57" s="1475"/>
      <c r="D57" s="1523" t="s">
        <v>513</v>
      </c>
      <c r="E57" s="1475"/>
      <c r="F57" s="1475"/>
      <c r="G57" s="1475"/>
      <c r="H57" s="1475"/>
      <c r="I57" s="1475"/>
      <c r="J57" s="1563" t="s">
        <v>571</v>
      </c>
      <c r="K57" s="1660"/>
      <c r="L57" s="1660"/>
      <c r="M57" s="1660"/>
      <c r="N57" s="1531" t="s">
        <v>4</v>
      </c>
      <c r="O57" s="1579" t="s">
        <v>572</v>
      </c>
    </row>
    <row r="58" spans="1:15" x14ac:dyDescent="0.25">
      <c r="A58" s="1128"/>
      <c r="B58" s="1661"/>
      <c r="C58" s="1662"/>
      <c r="D58" s="1618"/>
      <c r="E58" s="1450"/>
      <c r="F58" s="1450"/>
      <c r="G58" s="1450"/>
      <c r="H58" s="1450"/>
      <c r="I58" s="1450"/>
      <c r="J58" s="1618"/>
      <c r="K58" s="1450"/>
      <c r="L58" s="1450"/>
      <c r="M58" s="1450"/>
      <c r="N58" s="1663" t="s">
        <v>573</v>
      </c>
      <c r="O58" s="1664">
        <v>0</v>
      </c>
    </row>
    <row r="59" spans="1:15" x14ac:dyDescent="0.25">
      <c r="A59" s="1143"/>
      <c r="B59" s="1476"/>
      <c r="C59" s="1475"/>
      <c r="D59" s="1665" t="s">
        <v>574</v>
      </c>
      <c r="E59" s="1666" t="s">
        <v>575</v>
      </c>
      <c r="F59" s="1522"/>
      <c r="G59" s="1522"/>
      <c r="H59" s="1522"/>
      <c r="I59" s="1522"/>
      <c r="J59" s="1474" t="s">
        <v>576</v>
      </c>
      <c r="K59" s="1522"/>
      <c r="L59" s="1522"/>
      <c r="M59" s="1522"/>
      <c r="N59" s="1479" t="s">
        <v>577</v>
      </c>
      <c r="O59" s="1667">
        <v>0</v>
      </c>
    </row>
    <row r="60" spans="1:15" x14ac:dyDescent="0.25">
      <c r="A60" s="1144"/>
      <c r="B60" s="1668"/>
      <c r="C60" s="1669"/>
      <c r="D60" s="1669"/>
      <c r="E60" s="1669"/>
      <c r="F60" s="1669"/>
      <c r="G60" s="1669"/>
      <c r="H60" s="1669"/>
      <c r="I60" s="1669"/>
      <c r="J60" s="1670" t="s">
        <v>578</v>
      </c>
      <c r="K60" s="1454"/>
      <c r="L60" s="1454"/>
      <c r="M60" s="1454"/>
      <c r="N60" s="1654" t="s">
        <v>577</v>
      </c>
      <c r="O60" s="1671">
        <f>O59</f>
        <v>0</v>
      </c>
    </row>
    <row r="61" spans="1:15" ht="15.6" thickBot="1" x14ac:dyDescent="0.3">
      <c r="A61" s="1131"/>
      <c r="B61" s="1598"/>
      <c r="C61" s="1598"/>
      <c r="D61" s="1598"/>
      <c r="E61" s="1598"/>
      <c r="F61" s="1598"/>
      <c r="G61" s="1598"/>
      <c r="H61" s="1598"/>
      <c r="I61" s="1672"/>
      <c r="J61" s="1673" t="s">
        <v>579</v>
      </c>
      <c r="K61" s="1511"/>
      <c r="L61" s="1511"/>
      <c r="M61" s="1511"/>
      <c r="N61" s="1511"/>
      <c r="O61" s="1674">
        <f>O58+O55+O45+O37+F37</f>
        <v>0</v>
      </c>
    </row>
    <row r="62" spans="1:15" ht="15.6" thickTop="1" x14ac:dyDescent="0.25">
      <c r="B62" s="1675"/>
      <c r="C62" s="1675"/>
      <c r="D62" s="1675"/>
      <c r="E62" s="1675"/>
      <c r="F62" s="1675"/>
      <c r="G62" s="1675"/>
      <c r="H62" s="1675"/>
      <c r="I62" s="1675"/>
      <c r="J62" s="1675"/>
      <c r="K62" s="1675"/>
      <c r="L62" s="1675"/>
      <c r="M62" s="1675"/>
      <c r="N62" s="1675"/>
      <c r="O62" s="1675"/>
    </row>
    <row r="63" spans="1:15" x14ac:dyDescent="0.25">
      <c r="A63" s="1145" t="s">
        <v>580</v>
      </c>
      <c r="B63" s="2052" t="s">
        <v>581</v>
      </c>
      <c r="C63" s="2053"/>
      <c r="D63" s="2053"/>
      <c r="E63" s="2053"/>
      <c r="F63" s="2053"/>
      <c r="G63" s="2053"/>
      <c r="H63" s="2053"/>
      <c r="I63" s="2053"/>
      <c r="J63" s="2053"/>
      <c r="K63" s="2053"/>
      <c r="L63" s="2053"/>
      <c r="M63" s="2053"/>
      <c r="N63" s="2053"/>
      <c r="O63" s="2053"/>
    </row>
    <row r="64" spans="1:15" x14ac:dyDescent="0.25">
      <c r="A64" s="1146"/>
      <c r="B64" s="1676"/>
      <c r="C64" s="1675"/>
      <c r="D64" s="1675"/>
      <c r="E64" s="1675"/>
      <c r="F64" s="1675"/>
      <c r="G64" s="1675"/>
      <c r="H64" s="1675"/>
      <c r="I64" s="1675"/>
      <c r="J64" s="1677"/>
      <c r="K64" s="1675"/>
      <c r="L64" s="1675"/>
      <c r="M64" s="1675"/>
      <c r="N64" s="1675"/>
      <c r="O64" s="1675"/>
    </row>
    <row r="65" spans="1:15" ht="38.25" customHeight="1" x14ac:dyDescent="0.25">
      <c r="A65" s="1146"/>
      <c r="B65" s="2052" t="s">
        <v>582</v>
      </c>
      <c r="C65" s="2053"/>
      <c r="D65" s="2053"/>
      <c r="E65" s="2053"/>
      <c r="F65" s="2053"/>
      <c r="G65" s="2053"/>
      <c r="H65" s="2053"/>
      <c r="I65" s="2053"/>
      <c r="J65" s="2053"/>
      <c r="K65" s="2053"/>
      <c r="L65" s="2053"/>
      <c r="M65" s="2053"/>
      <c r="N65" s="2053"/>
      <c r="O65" s="2053"/>
    </row>
  </sheetData>
  <sheetProtection algorithmName="SHA-512" hashValue="T1FVZn08VkJEekvyAZ5nqFRnsRR56PeazkpSuApvalX4MRN3XX8D8BZ3E4O1m7uTOo7lnSI76kar8esKdqtD/g==" saltValue="QtGzAn+Mm4F0T5ouyWMC0g==" spinCount="100000" sheet="1" objects="1" scenarios="1"/>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O92"/>
  <sheetViews>
    <sheetView topLeftCell="A67" zoomScale="75" zoomScaleNormal="75" zoomScaleSheetLayoutView="75" workbookViewId="0">
      <selection activeCell="A44" sqref="A44:D44"/>
    </sheetView>
  </sheetViews>
  <sheetFormatPr defaultRowHeight="15" x14ac:dyDescent="0.25"/>
  <cols>
    <col min="1" max="1" width="4.75" customWidth="1"/>
    <col min="2" max="2" width="12.58203125" customWidth="1"/>
    <col min="3" max="3" width="14.25" customWidth="1"/>
    <col min="4" max="4" width="10.9140625" customWidth="1"/>
    <col min="5" max="5" width="14.4140625" customWidth="1"/>
    <col min="6" max="6" width="14.08203125" customWidth="1"/>
    <col min="7" max="7" width="13" customWidth="1"/>
    <col min="8" max="8" width="8.6640625" customWidth="1"/>
    <col min="9" max="9" width="8.25" customWidth="1"/>
    <col min="10" max="10" width="9.08203125" customWidth="1"/>
    <col min="11" max="11" width="14.08203125" customWidth="1"/>
    <col min="12" max="12" width="7.75" customWidth="1"/>
    <col min="13" max="13" width="6.75" customWidth="1"/>
    <col min="14" max="14" width="8.33203125" customWidth="1"/>
    <col min="15" max="15" width="12" customWidth="1"/>
  </cols>
  <sheetData>
    <row r="1" spans="1:15" ht="18" thickTop="1" x14ac:dyDescent="0.25">
      <c r="A1" s="777" t="s">
        <v>360</v>
      </c>
      <c r="B1" s="778"/>
      <c r="C1" s="105"/>
      <c r="D1" s="105"/>
      <c r="E1" s="105"/>
      <c r="F1" s="179"/>
      <c r="G1" s="779" t="s">
        <v>361</v>
      </c>
      <c r="H1" s="105"/>
      <c r="I1" s="105"/>
      <c r="J1" s="105"/>
      <c r="K1" s="105"/>
      <c r="L1" s="780"/>
      <c r="M1" s="780"/>
      <c r="N1" s="780"/>
      <c r="O1" s="781"/>
    </row>
    <row r="2" spans="1:15" ht="15.6" x14ac:dyDescent="0.25">
      <c r="A2" s="782" t="s">
        <v>150</v>
      </c>
      <c r="B2" s="783"/>
      <c r="C2" s="40"/>
      <c r="D2" s="40"/>
      <c r="E2" s="40"/>
      <c r="G2" s="784"/>
      <c r="H2" s="40"/>
      <c r="I2" s="40"/>
      <c r="J2" s="40"/>
      <c r="K2" s="784" t="s">
        <v>151</v>
      </c>
      <c r="L2" s="237"/>
      <c r="M2" s="237"/>
      <c r="N2" s="237"/>
      <c r="O2" s="720"/>
    </row>
    <row r="3" spans="1:15" ht="16.2" thickBot="1" x14ac:dyDescent="0.3">
      <c r="A3" s="2074" t="s">
        <v>362</v>
      </c>
      <c r="B3" s="2075"/>
      <c r="C3" s="2075"/>
      <c r="D3" s="785">
        <f>'Input Data'!D29</f>
        <v>0</v>
      </c>
      <c r="E3" s="786"/>
      <c r="F3" s="787"/>
      <c r="G3" s="787"/>
      <c r="H3" s="2076" t="s">
        <v>363</v>
      </c>
      <c r="I3" s="2077"/>
      <c r="J3" s="788">
        <f>'Input Data'!D7</f>
        <v>0</v>
      </c>
      <c r="K3" s="127"/>
      <c r="L3" s="298"/>
      <c r="M3" s="298"/>
      <c r="N3" s="298"/>
      <c r="O3" s="789"/>
    </row>
    <row r="4" spans="1:15" ht="16.2" thickTop="1" x14ac:dyDescent="0.25">
      <c r="A4" s="790" t="s">
        <v>364</v>
      </c>
      <c r="B4" s="791"/>
      <c r="C4" s="107"/>
      <c r="D4" s="107"/>
      <c r="E4" s="107"/>
      <c r="F4" s="107"/>
      <c r="G4" s="107"/>
      <c r="H4" s="107"/>
      <c r="I4" s="107"/>
      <c r="J4" s="792"/>
      <c r="K4" s="793"/>
      <c r="L4" s="237"/>
      <c r="M4" s="237"/>
      <c r="N4" s="237"/>
      <c r="O4" s="720"/>
    </row>
    <row r="5" spans="1:15" ht="15.6" x14ac:dyDescent="0.25">
      <c r="A5" s="160" t="s">
        <v>365</v>
      </c>
      <c r="B5" s="794"/>
      <c r="C5" s="40"/>
      <c r="D5" s="40"/>
      <c r="E5" s="40"/>
      <c r="F5" s="40"/>
      <c r="G5" s="40"/>
      <c r="H5" s="40"/>
      <c r="I5" s="40"/>
      <c r="J5" s="795"/>
      <c r="K5" s="796"/>
      <c r="L5" s="797"/>
      <c r="M5" s="797"/>
      <c r="N5" s="797"/>
      <c r="O5" s="798"/>
    </row>
    <row r="6" spans="1:15" ht="41.4" x14ac:dyDescent="0.25">
      <c r="A6" s="664" t="s">
        <v>366</v>
      </c>
      <c r="B6" s="672" t="s">
        <v>3</v>
      </c>
      <c r="C6" s="662" t="s">
        <v>36</v>
      </c>
      <c r="D6" s="2078" t="s">
        <v>20</v>
      </c>
      <c r="E6" s="2079"/>
      <c r="F6" s="662" t="s">
        <v>41</v>
      </c>
      <c r="G6" s="662" t="s">
        <v>42</v>
      </c>
      <c r="H6" s="662" t="s">
        <v>48</v>
      </c>
      <c r="I6" s="2080" t="s">
        <v>38</v>
      </c>
      <c r="J6" s="1901"/>
      <c r="K6" s="1901"/>
      <c r="L6" s="662" t="s">
        <v>43</v>
      </c>
      <c r="M6" s="662" t="s">
        <v>367</v>
      </c>
      <c r="N6" s="662" t="s">
        <v>316</v>
      </c>
      <c r="O6" s="665" t="s">
        <v>39</v>
      </c>
    </row>
    <row r="7" spans="1:15" x14ac:dyDescent="0.25">
      <c r="A7" s="801">
        <v>1</v>
      </c>
      <c r="B7" s="802"/>
      <c r="C7" s="110"/>
      <c r="D7" s="118"/>
      <c r="E7" s="129"/>
      <c r="F7" s="110"/>
      <c r="G7" s="110"/>
      <c r="H7" s="110"/>
      <c r="I7" s="118"/>
      <c r="J7" s="131"/>
      <c r="K7" s="129"/>
      <c r="L7" s="110"/>
      <c r="M7" s="1263">
        <f>IF('Input Data'!$H$49&lt;'Input Data'!$H$39,L7,L7-2)</f>
        <v>0</v>
      </c>
      <c r="N7" s="666"/>
      <c r="O7" s="803">
        <f t="shared" ref="O7:O16" si="0">M7*N7</f>
        <v>0</v>
      </c>
    </row>
    <row r="8" spans="1:15" x14ac:dyDescent="0.25">
      <c r="A8" s="804"/>
      <c r="B8" s="805"/>
      <c r="C8" s="111"/>
      <c r="D8" s="750"/>
      <c r="E8" s="751"/>
      <c r="F8" s="111"/>
      <c r="G8" s="111"/>
      <c r="H8" s="111"/>
      <c r="I8" s="750"/>
      <c r="J8" s="755"/>
      <c r="K8" s="751"/>
      <c r="L8" s="111"/>
      <c r="M8" s="1263">
        <f>IF('Input Data'!$H$49&lt;'Input Data'!$H$39,L8,L8-2)</f>
        <v>0</v>
      </c>
      <c r="N8" s="651"/>
      <c r="O8" s="806">
        <f t="shared" si="0"/>
        <v>0</v>
      </c>
    </row>
    <row r="9" spans="1:15" x14ac:dyDescent="0.25">
      <c r="A9" s="804"/>
      <c r="B9" s="805"/>
      <c r="C9" s="111"/>
      <c r="D9" s="750"/>
      <c r="E9" s="751"/>
      <c r="F9" s="111"/>
      <c r="G9" s="111"/>
      <c r="H9" s="111"/>
      <c r="I9" s="750"/>
      <c r="J9" s="755"/>
      <c r="K9" s="751"/>
      <c r="L9" s="111"/>
      <c r="M9" s="1263">
        <f>IF('Input Data'!$H$49&lt;'Input Data'!$H$39,L9,L9-2)</f>
        <v>0</v>
      </c>
      <c r="N9" s="651"/>
      <c r="O9" s="806">
        <f t="shared" si="0"/>
        <v>0</v>
      </c>
    </row>
    <row r="10" spans="1:15" x14ac:dyDescent="0.25">
      <c r="A10" s="804"/>
      <c r="B10" s="805"/>
      <c r="C10" s="111"/>
      <c r="D10" s="750"/>
      <c r="E10" s="751"/>
      <c r="F10" s="111"/>
      <c r="G10" s="111"/>
      <c r="H10" s="111"/>
      <c r="I10" s="750"/>
      <c r="J10" s="755"/>
      <c r="K10" s="751"/>
      <c r="L10" s="111"/>
      <c r="M10" s="1263">
        <f>IF('Input Data'!$H$49&lt;'Input Data'!$H$39,L10,L10-2)</f>
        <v>0</v>
      </c>
      <c r="N10" s="651"/>
      <c r="O10" s="806">
        <f t="shared" si="0"/>
        <v>0</v>
      </c>
    </row>
    <row r="11" spans="1:15" x14ac:dyDescent="0.25">
      <c r="A11" s="804"/>
      <c r="B11" s="805"/>
      <c r="C11" s="111"/>
      <c r="D11" s="750"/>
      <c r="E11" s="751"/>
      <c r="F11" s="111"/>
      <c r="G11" s="111"/>
      <c r="H11" s="111"/>
      <c r="I11" s="750"/>
      <c r="J11" s="755"/>
      <c r="K11" s="751"/>
      <c r="L11" s="111"/>
      <c r="M11" s="1263">
        <f>IF('Input Data'!$H$49&lt;'Input Data'!$H$39,L11,L11-2)</f>
        <v>0</v>
      </c>
      <c r="N11" s="651"/>
      <c r="O11" s="806">
        <f t="shared" si="0"/>
        <v>0</v>
      </c>
    </row>
    <row r="12" spans="1:15" x14ac:dyDescent="0.25">
      <c r="A12" s="804"/>
      <c r="B12" s="805"/>
      <c r="C12" s="111"/>
      <c r="D12" s="750"/>
      <c r="E12" s="751"/>
      <c r="F12" s="111"/>
      <c r="G12" s="111"/>
      <c r="H12" s="111"/>
      <c r="I12" s="750"/>
      <c r="J12" s="755"/>
      <c r="K12" s="751"/>
      <c r="L12" s="111"/>
      <c r="M12" s="1263">
        <f>IF('Input Data'!$H$49&lt;'Input Data'!$H$39,L12,L12-2)</f>
        <v>0</v>
      </c>
      <c r="N12" s="651"/>
      <c r="O12" s="806">
        <f t="shared" si="0"/>
        <v>0</v>
      </c>
    </row>
    <row r="13" spans="1:15" x14ac:dyDescent="0.25">
      <c r="A13" s="804"/>
      <c r="B13" s="805"/>
      <c r="C13" s="111"/>
      <c r="D13" s="750"/>
      <c r="E13" s="751"/>
      <c r="F13" s="111"/>
      <c r="G13" s="111"/>
      <c r="H13" s="111"/>
      <c r="I13" s="750"/>
      <c r="J13" s="755"/>
      <c r="K13" s="751"/>
      <c r="L13" s="111"/>
      <c r="M13" s="1263">
        <f>IF('Input Data'!$H$49&lt;'Input Data'!$H$39,L13,L13-2)</f>
        <v>0</v>
      </c>
      <c r="N13" s="651"/>
      <c r="O13" s="806">
        <f t="shared" si="0"/>
        <v>0</v>
      </c>
    </row>
    <row r="14" spans="1:15" x14ac:dyDescent="0.25">
      <c r="A14" s="804"/>
      <c r="B14" s="805"/>
      <c r="C14" s="111"/>
      <c r="D14" s="750"/>
      <c r="E14" s="751"/>
      <c r="F14" s="111"/>
      <c r="G14" s="111"/>
      <c r="H14" s="111"/>
      <c r="I14" s="750"/>
      <c r="J14" s="755"/>
      <c r="K14" s="751"/>
      <c r="L14" s="111"/>
      <c r="M14" s="1263">
        <f>IF('Input Data'!$H$49&lt;'Input Data'!$H$39,L14,L14-2)</f>
        <v>0</v>
      </c>
      <c r="N14" s="651"/>
      <c r="O14" s="806">
        <f t="shared" si="0"/>
        <v>0</v>
      </c>
    </row>
    <row r="15" spans="1:15" x14ac:dyDescent="0.25">
      <c r="A15" s="804"/>
      <c r="B15" s="805"/>
      <c r="C15" s="111"/>
      <c r="D15" s="750"/>
      <c r="E15" s="751"/>
      <c r="F15" s="111"/>
      <c r="G15" s="111"/>
      <c r="H15" s="111"/>
      <c r="I15" s="750"/>
      <c r="J15" s="755"/>
      <c r="K15" s="751"/>
      <c r="L15" s="111"/>
      <c r="M15" s="1263">
        <f>IF('Input Data'!$H$49&lt;'Input Data'!$H$39,L15,L15-2)</f>
        <v>0</v>
      </c>
      <c r="N15" s="651"/>
      <c r="O15" s="806">
        <f t="shared" si="0"/>
        <v>0</v>
      </c>
    </row>
    <row r="16" spans="1:15" ht="15.6" thickBot="1" x14ac:dyDescent="0.3">
      <c r="A16" s="807"/>
      <c r="B16" s="808"/>
      <c r="C16" s="112"/>
      <c r="D16" s="120"/>
      <c r="E16" s="130"/>
      <c r="F16" s="112"/>
      <c r="G16" s="112"/>
      <c r="H16" s="112"/>
      <c r="I16" s="120"/>
      <c r="J16" s="132"/>
      <c r="K16" s="130"/>
      <c r="L16" s="112"/>
      <c r="M16" s="1263">
        <f>IF('Input Data'!$H$49&lt;'Input Data'!$H$39,L16,L16-2)</f>
        <v>0</v>
      </c>
      <c r="N16" s="668"/>
      <c r="O16" s="809">
        <f t="shared" si="0"/>
        <v>0</v>
      </c>
    </row>
    <row r="17" spans="1:15" ht="15.6" thickBot="1" x14ac:dyDescent="0.3">
      <c r="A17" s="671"/>
      <c r="B17" s="330"/>
      <c r="C17" s="330"/>
      <c r="D17" s="330"/>
      <c r="E17" s="330"/>
      <c r="F17" s="330"/>
      <c r="G17" s="330"/>
      <c r="H17" s="810"/>
      <c r="I17" s="810"/>
      <c r="J17" s="810"/>
      <c r="K17" s="810"/>
      <c r="L17" s="330"/>
      <c r="M17" s="330"/>
      <c r="N17" s="811" t="s">
        <v>368</v>
      </c>
      <c r="O17" s="812">
        <f>SUM(O7:O16)</f>
        <v>0</v>
      </c>
    </row>
    <row r="18" spans="1:15" ht="16.2" thickTop="1" thickBot="1" x14ac:dyDescent="0.3">
      <c r="A18" s="123"/>
      <c r="B18" s="124"/>
      <c r="C18" s="124"/>
      <c r="D18" s="124"/>
      <c r="E18" s="124"/>
      <c r="F18" s="124"/>
      <c r="G18" s="124"/>
      <c r="L18" s="124"/>
      <c r="M18" s="124"/>
      <c r="N18" s="813" t="s">
        <v>369</v>
      </c>
      <c r="O18" s="814"/>
    </row>
    <row r="19" spans="1:15" ht="15.6" thickBot="1" x14ac:dyDescent="0.3">
      <c r="A19" s="815" t="s">
        <v>370</v>
      </c>
      <c r="B19" s="127"/>
      <c r="C19" s="127"/>
      <c r="D19" s="127"/>
      <c r="E19" s="127"/>
      <c r="F19" s="127"/>
      <c r="G19" s="127"/>
      <c r="H19" s="127"/>
      <c r="I19" s="127"/>
      <c r="J19" s="816"/>
      <c r="K19" s="817"/>
    </row>
    <row r="20" spans="1:15" ht="15.6" thickTop="1" x14ac:dyDescent="0.25">
      <c r="A20" s="818"/>
      <c r="B20" s="2081" t="s">
        <v>371</v>
      </c>
      <c r="C20" s="2082"/>
      <c r="D20" s="2082"/>
      <c r="E20" s="2082"/>
      <c r="F20" s="2082"/>
      <c r="G20" s="2081" t="s">
        <v>372</v>
      </c>
      <c r="H20" s="2081"/>
      <c r="I20" s="2081"/>
      <c r="J20" s="2081"/>
      <c r="K20" s="2081"/>
      <c r="L20" s="2096" t="s">
        <v>373</v>
      </c>
      <c r="M20" s="819"/>
      <c r="N20" s="819"/>
      <c r="O20" s="820"/>
    </row>
    <row r="21" spans="1:15" x14ac:dyDescent="0.25">
      <c r="A21" s="2083" t="s">
        <v>374</v>
      </c>
      <c r="B21" s="821"/>
      <c r="C21" s="821"/>
      <c r="D21" s="2085" t="s">
        <v>375</v>
      </c>
      <c r="E21" s="2085" t="s">
        <v>376</v>
      </c>
      <c r="F21" s="2085" t="s">
        <v>377</v>
      </c>
      <c r="G21" s="2085" t="s">
        <v>378</v>
      </c>
      <c r="H21" s="2085" t="s">
        <v>379</v>
      </c>
      <c r="I21" s="2085" t="s">
        <v>375</v>
      </c>
      <c r="J21" s="2085" t="s">
        <v>376</v>
      </c>
      <c r="K21" s="2085" t="s">
        <v>377</v>
      </c>
      <c r="L21" s="2097"/>
      <c r="M21" s="2088" t="s">
        <v>367</v>
      </c>
      <c r="N21" s="2088" t="s">
        <v>316</v>
      </c>
      <c r="O21" s="2090" t="s">
        <v>39</v>
      </c>
    </row>
    <row r="22" spans="1:15" ht="24.75" customHeight="1" x14ac:dyDescent="0.25">
      <c r="A22" s="2084"/>
      <c r="B22" s="822" t="s">
        <v>378</v>
      </c>
      <c r="C22" s="822" t="s">
        <v>379</v>
      </c>
      <c r="D22" s="2086"/>
      <c r="E22" s="2086"/>
      <c r="F22" s="2086"/>
      <c r="G22" s="2087"/>
      <c r="H22" s="2087"/>
      <c r="I22" s="2086"/>
      <c r="J22" s="2086"/>
      <c r="K22" s="2086"/>
      <c r="L22" s="2089"/>
      <c r="M22" s="2089"/>
      <c r="N22" s="2089"/>
      <c r="O22" s="2091"/>
    </row>
    <row r="23" spans="1:15" ht="19.5" customHeight="1" x14ac:dyDescent="0.25">
      <c r="A23" s="823">
        <v>1</v>
      </c>
      <c r="B23" s="824">
        <v>41188.25</v>
      </c>
      <c r="C23" s="825" t="s">
        <v>380</v>
      </c>
      <c r="D23" s="826" t="s">
        <v>381</v>
      </c>
      <c r="E23" s="826" t="s">
        <v>382</v>
      </c>
      <c r="F23" s="827">
        <v>41188.489583333336</v>
      </c>
      <c r="G23" s="824">
        <v>41189.666666666664</v>
      </c>
      <c r="H23" s="825" t="s">
        <v>382</v>
      </c>
      <c r="I23" s="826" t="s">
        <v>383</v>
      </c>
      <c r="J23" s="828" t="s">
        <v>380</v>
      </c>
      <c r="K23" s="827">
        <v>41189.885416666664</v>
      </c>
      <c r="L23" s="1239">
        <f>((F23-B23)*24)+((K23-G23)*24)</f>
        <v>11.000000000058208</v>
      </c>
      <c r="M23" s="1264">
        <f>IF('Input Data'!$H$49&lt;'Input Data'!$H$39,L23,L23-2)</f>
        <v>11.000000000058208</v>
      </c>
      <c r="N23" s="1267"/>
      <c r="O23" s="829">
        <f t="shared" ref="O23:O32" si="1">M23*N23</f>
        <v>0</v>
      </c>
    </row>
    <row r="24" spans="1:15" x14ac:dyDescent="0.25">
      <c r="A24" s="830"/>
      <c r="B24" s="831"/>
      <c r="C24" s="832"/>
      <c r="D24" s="833"/>
      <c r="E24" s="834"/>
      <c r="F24" s="835"/>
      <c r="G24" s="831"/>
      <c r="H24" s="836"/>
      <c r="I24" s="834"/>
      <c r="J24" s="836"/>
      <c r="K24" s="835"/>
      <c r="L24" s="1240">
        <f t="shared" ref="L24:L32" si="2">((F24-B24)*24)+((K24-G24)*24)</f>
        <v>0</v>
      </c>
      <c r="M24" s="1265">
        <f>IF('Input Data'!$H$49&lt;'Input Data'!$H$39,L24,L24-2)</f>
        <v>0</v>
      </c>
      <c r="N24" s="1268"/>
      <c r="O24" s="837">
        <f t="shared" si="1"/>
        <v>0</v>
      </c>
    </row>
    <row r="25" spans="1:15" x14ac:dyDescent="0.25">
      <c r="A25" s="830"/>
      <c r="B25" s="831"/>
      <c r="C25" s="834"/>
      <c r="D25" s="832"/>
      <c r="E25" s="833"/>
      <c r="F25" s="835"/>
      <c r="G25" s="831"/>
      <c r="H25" s="834"/>
      <c r="I25" s="834"/>
      <c r="J25" s="833"/>
      <c r="K25" s="835"/>
      <c r="L25" s="1240">
        <f t="shared" si="2"/>
        <v>0</v>
      </c>
      <c r="M25" s="1265">
        <f>IF('Input Data'!$H$49&lt;'Input Data'!$H$39,L25,L25-2)</f>
        <v>0</v>
      </c>
      <c r="N25" s="1268"/>
      <c r="O25" s="837">
        <f t="shared" si="1"/>
        <v>0</v>
      </c>
    </row>
    <row r="26" spans="1:15" x14ac:dyDescent="0.25">
      <c r="A26" s="830"/>
      <c r="B26" s="831"/>
      <c r="C26" s="834"/>
      <c r="D26" s="832"/>
      <c r="E26" s="833"/>
      <c r="F26" s="835"/>
      <c r="G26" s="831"/>
      <c r="H26" s="834"/>
      <c r="I26" s="834"/>
      <c r="J26" s="833"/>
      <c r="K26" s="835"/>
      <c r="L26" s="1240">
        <f t="shared" si="2"/>
        <v>0</v>
      </c>
      <c r="M26" s="1265">
        <f>IF('Input Data'!$H$49&lt;'Input Data'!$H$39,L26,L26-2)</f>
        <v>0</v>
      </c>
      <c r="N26" s="1268"/>
      <c r="O26" s="837">
        <f t="shared" si="1"/>
        <v>0</v>
      </c>
    </row>
    <row r="27" spans="1:15" x14ac:dyDescent="0.25">
      <c r="A27" s="830"/>
      <c r="B27" s="831"/>
      <c r="C27" s="834"/>
      <c r="D27" s="832"/>
      <c r="E27" s="833"/>
      <c r="F27" s="835"/>
      <c r="G27" s="831"/>
      <c r="H27" s="834"/>
      <c r="I27" s="834"/>
      <c r="J27" s="833"/>
      <c r="K27" s="835"/>
      <c r="L27" s="1240">
        <f t="shared" si="2"/>
        <v>0</v>
      </c>
      <c r="M27" s="1265">
        <f>IF('Input Data'!$H$49&lt;'Input Data'!$H$39,L27,L27-2)</f>
        <v>0</v>
      </c>
      <c r="N27" s="1268"/>
      <c r="O27" s="837">
        <f t="shared" si="1"/>
        <v>0</v>
      </c>
    </row>
    <row r="28" spans="1:15" x14ac:dyDescent="0.25">
      <c r="A28" s="830"/>
      <c r="B28" s="831"/>
      <c r="C28" s="834"/>
      <c r="D28" s="832"/>
      <c r="E28" s="833"/>
      <c r="F28" s="835"/>
      <c r="G28" s="831"/>
      <c r="H28" s="834"/>
      <c r="I28" s="834"/>
      <c r="J28" s="833"/>
      <c r="K28" s="835"/>
      <c r="L28" s="1240">
        <f t="shared" si="2"/>
        <v>0</v>
      </c>
      <c r="M28" s="1265">
        <f>IF('Input Data'!$H$49&lt;'Input Data'!$H$39,L28,L28-2)</f>
        <v>0</v>
      </c>
      <c r="N28" s="1268"/>
      <c r="O28" s="837">
        <f t="shared" si="1"/>
        <v>0</v>
      </c>
    </row>
    <row r="29" spans="1:15" x14ac:dyDescent="0.25">
      <c r="A29" s="830"/>
      <c r="B29" s="831"/>
      <c r="C29" s="834"/>
      <c r="D29" s="832"/>
      <c r="E29" s="833"/>
      <c r="F29" s="835"/>
      <c r="G29" s="831"/>
      <c r="H29" s="838"/>
      <c r="I29" s="839"/>
      <c r="J29" s="833"/>
      <c r="K29" s="835"/>
      <c r="L29" s="1240">
        <f t="shared" si="2"/>
        <v>0</v>
      </c>
      <c r="M29" s="1265">
        <f>IF('Input Data'!$H$49&lt;'Input Data'!$H$39,L29,L29-2)</f>
        <v>0</v>
      </c>
      <c r="N29" s="1268"/>
      <c r="O29" s="837">
        <f t="shared" si="1"/>
        <v>0</v>
      </c>
    </row>
    <row r="30" spans="1:15" ht="15.75" customHeight="1" x14ac:dyDescent="0.25">
      <c r="A30" s="830"/>
      <c r="B30" s="831"/>
      <c r="C30" s="834"/>
      <c r="D30" s="832"/>
      <c r="E30" s="833"/>
      <c r="F30" s="835"/>
      <c r="G30" s="831"/>
      <c r="H30" s="840"/>
      <c r="I30" s="834"/>
      <c r="J30" s="838"/>
      <c r="K30" s="835"/>
      <c r="L30" s="1240">
        <f t="shared" si="2"/>
        <v>0</v>
      </c>
      <c r="M30" s="1265">
        <f>IF('Input Data'!$H$49&lt;'Input Data'!$H$39,L30,L30-2)</f>
        <v>0</v>
      </c>
      <c r="N30" s="1268"/>
      <c r="O30" s="837">
        <f t="shared" si="1"/>
        <v>0</v>
      </c>
    </row>
    <row r="31" spans="1:15" x14ac:dyDescent="0.25">
      <c r="A31" s="830"/>
      <c r="B31" s="831"/>
      <c r="C31" s="834"/>
      <c r="D31" s="832"/>
      <c r="E31" s="833"/>
      <c r="F31" s="835"/>
      <c r="G31" s="831"/>
      <c r="H31" s="840"/>
      <c r="I31" s="834"/>
      <c r="J31" s="838"/>
      <c r="K31" s="835"/>
      <c r="L31" s="1240">
        <f t="shared" si="2"/>
        <v>0</v>
      </c>
      <c r="M31" s="1265">
        <f>IF('Input Data'!$H$49&lt;'Input Data'!$H$39,L31,L31-2)</f>
        <v>0</v>
      </c>
      <c r="N31" s="1268"/>
      <c r="O31" s="837">
        <f t="shared" si="1"/>
        <v>0</v>
      </c>
    </row>
    <row r="32" spans="1:15" ht="15.6" thickBot="1" x14ac:dyDescent="0.3">
      <c r="A32" s="841"/>
      <c r="B32" s="842"/>
      <c r="C32" s="843"/>
      <c r="D32" s="843"/>
      <c r="E32" s="843"/>
      <c r="F32" s="844"/>
      <c r="G32" s="842"/>
      <c r="H32" s="843"/>
      <c r="I32" s="845"/>
      <c r="J32" s="843"/>
      <c r="K32" s="844"/>
      <c r="L32" s="1241">
        <f t="shared" si="2"/>
        <v>0</v>
      </c>
      <c r="M32" s="1266">
        <f>IF('Input Data'!$H$49&lt;'Input Data'!$H$39,L32,L32-2)</f>
        <v>0</v>
      </c>
      <c r="N32" s="1269"/>
      <c r="O32" s="846">
        <f t="shared" si="1"/>
        <v>0</v>
      </c>
    </row>
    <row r="33" spans="1:15" ht="15.6" thickBot="1" x14ac:dyDescent="0.3">
      <c r="A33" s="125"/>
      <c r="B33" s="122"/>
      <c r="C33" s="122"/>
      <c r="D33" s="122"/>
      <c r="E33" s="122"/>
      <c r="F33" s="122"/>
      <c r="G33" s="122"/>
      <c r="H33" s="122"/>
      <c r="I33" s="122"/>
      <c r="J33" s="298"/>
      <c r="K33" s="298"/>
      <c r="L33" s="298"/>
      <c r="M33" s="298"/>
      <c r="N33" s="1270" t="s">
        <v>384</v>
      </c>
      <c r="O33" s="847">
        <f>SUM(O23:O32)</f>
        <v>0</v>
      </c>
    </row>
    <row r="34" spans="1:15" ht="16.2" thickTop="1" thickBot="1" x14ac:dyDescent="0.3">
      <c r="A34" s="123"/>
      <c r="B34" s="124"/>
      <c r="C34" s="124"/>
      <c r="D34" s="124"/>
      <c r="E34" s="124"/>
      <c r="F34" s="124"/>
      <c r="G34" s="124"/>
      <c r="H34" s="124"/>
      <c r="I34" s="124"/>
      <c r="L34" s="780"/>
      <c r="M34" s="780"/>
      <c r="N34" s="1271" t="s">
        <v>369</v>
      </c>
      <c r="O34" s="848"/>
    </row>
    <row r="35" spans="1:15" ht="15.6" thickBot="1" x14ac:dyDescent="0.3">
      <c r="A35" s="121"/>
      <c r="B35" s="117"/>
      <c r="C35" s="117"/>
      <c r="D35" s="117"/>
      <c r="E35" s="117"/>
      <c r="F35" s="117"/>
      <c r="G35" s="117"/>
      <c r="H35" s="117"/>
      <c r="I35" s="117"/>
      <c r="L35" s="237"/>
      <c r="M35" s="237"/>
      <c r="N35" s="907" t="s">
        <v>385</v>
      </c>
      <c r="O35" s="849">
        <f>O17+O33</f>
        <v>0</v>
      </c>
    </row>
    <row r="36" spans="1:15" ht="16.2" thickTop="1" thickBot="1" x14ac:dyDescent="0.3">
      <c r="A36" s="121"/>
      <c r="B36" s="117"/>
      <c r="C36" s="117"/>
      <c r="D36" s="117"/>
      <c r="E36" s="117"/>
      <c r="F36" s="117"/>
      <c r="G36" s="117"/>
      <c r="H36" s="117"/>
      <c r="I36" s="117"/>
      <c r="L36" s="237"/>
      <c r="M36" s="237"/>
      <c r="N36" s="907" t="s">
        <v>386</v>
      </c>
      <c r="O36" s="850">
        <f>O18+O34</f>
        <v>0</v>
      </c>
    </row>
    <row r="37" spans="1:15" ht="15.6" thickBot="1" x14ac:dyDescent="0.3">
      <c r="A37" s="161"/>
      <c r="B37" s="40"/>
      <c r="C37" s="40"/>
      <c r="D37" s="40"/>
      <c r="E37" s="40"/>
      <c r="F37" s="40"/>
      <c r="G37" s="40"/>
      <c r="H37" s="127"/>
      <c r="I37" s="127"/>
      <c r="J37" s="816"/>
      <c r="K37" s="817"/>
      <c r="L37" s="298"/>
      <c r="M37" s="298"/>
      <c r="N37" s="1272" t="s">
        <v>387</v>
      </c>
      <c r="O37" s="1273">
        <f>O35-O36</f>
        <v>0</v>
      </c>
    </row>
    <row r="38" spans="1:15" ht="15.6" thickTop="1" x14ac:dyDescent="0.25">
      <c r="A38" s="104" t="s">
        <v>44</v>
      </c>
      <c r="B38" s="778"/>
      <c r="C38" s="851"/>
      <c r="D38" s="851"/>
      <c r="E38" s="851"/>
      <c r="F38" s="107"/>
      <c r="G38" s="107"/>
      <c r="H38" s="780"/>
      <c r="I38" s="780"/>
      <c r="J38" s="780"/>
      <c r="K38" s="780"/>
      <c r="L38" s="107"/>
      <c r="M38" s="107"/>
      <c r="N38" s="852"/>
      <c r="O38" s="853"/>
    </row>
    <row r="39" spans="1:15" x14ac:dyDescent="0.25">
      <c r="A39" s="854"/>
      <c r="B39" s="117" t="s">
        <v>45</v>
      </c>
      <c r="C39" s="749" t="s">
        <v>46</v>
      </c>
      <c r="D39" s="749" t="s">
        <v>388</v>
      </c>
      <c r="E39" s="749"/>
      <c r="F39" s="40"/>
      <c r="G39" s="40"/>
      <c r="I39" s="40"/>
      <c r="J39" s="749" t="s">
        <v>47</v>
      </c>
      <c r="K39" s="855">
        <v>1600</v>
      </c>
      <c r="O39" s="856"/>
    </row>
    <row r="40" spans="1:15" x14ac:dyDescent="0.25">
      <c r="A40" s="857"/>
      <c r="B40" s="117" t="s">
        <v>32</v>
      </c>
      <c r="C40" s="749" t="s">
        <v>46</v>
      </c>
      <c r="D40" s="115"/>
      <c r="E40" s="115"/>
      <c r="F40" s="116"/>
      <c r="G40" s="40"/>
      <c r="I40" s="40"/>
      <c r="J40" s="749" t="s">
        <v>47</v>
      </c>
      <c r="K40" s="858"/>
      <c r="O40" s="859"/>
    </row>
    <row r="41" spans="1:15" x14ac:dyDescent="0.25">
      <c r="A41" s="860"/>
      <c r="B41" s="117" t="s">
        <v>34</v>
      </c>
      <c r="C41" s="749" t="s">
        <v>46</v>
      </c>
      <c r="D41" s="749"/>
      <c r="E41" s="749"/>
      <c r="F41" s="40"/>
      <c r="G41" s="40"/>
      <c r="I41" s="40"/>
      <c r="J41" s="749" t="s">
        <v>47</v>
      </c>
      <c r="K41" s="855"/>
      <c r="O41" s="856"/>
    </row>
    <row r="42" spans="1:15" ht="41.4" x14ac:dyDescent="0.25">
      <c r="A42" s="664" t="s">
        <v>366</v>
      </c>
      <c r="B42" s="672" t="s">
        <v>3</v>
      </c>
      <c r="C42" s="662" t="s">
        <v>36</v>
      </c>
      <c r="D42" s="662" t="s">
        <v>38</v>
      </c>
      <c r="E42" s="662" t="s">
        <v>48</v>
      </c>
      <c r="F42" s="2092" t="s">
        <v>389</v>
      </c>
      <c r="G42" s="1901"/>
      <c r="H42" s="2093" t="s">
        <v>390</v>
      </c>
      <c r="I42" s="2094"/>
      <c r="J42" s="2095"/>
      <c r="K42" s="662" t="s">
        <v>391</v>
      </c>
      <c r="L42" s="662" t="s">
        <v>392</v>
      </c>
      <c r="M42" s="662" t="s">
        <v>49</v>
      </c>
      <c r="N42" s="1274" t="s">
        <v>393</v>
      </c>
      <c r="O42" s="1275" t="s">
        <v>39</v>
      </c>
    </row>
    <row r="43" spans="1:15" x14ac:dyDescent="0.25">
      <c r="A43" s="863"/>
      <c r="B43" s="864"/>
      <c r="C43" s="865"/>
      <c r="D43" s="865"/>
      <c r="E43" s="865"/>
      <c r="F43" s="866"/>
      <c r="G43" s="868"/>
      <c r="H43" s="866"/>
      <c r="I43" s="867"/>
      <c r="J43" s="868"/>
      <c r="K43" s="1276"/>
      <c r="L43" s="1276"/>
      <c r="M43" s="869"/>
      <c r="N43" s="1276"/>
      <c r="O43" s="870">
        <f>K43+L43+M43*N43</f>
        <v>0</v>
      </c>
    </row>
    <row r="44" spans="1:15" x14ac:dyDescent="0.25">
      <c r="A44" s="871"/>
      <c r="B44" s="872"/>
      <c r="C44" s="873"/>
      <c r="D44" s="873"/>
      <c r="E44" s="873"/>
      <c r="F44" s="874"/>
      <c r="G44" s="876"/>
      <c r="H44" s="874"/>
      <c r="I44" s="875"/>
      <c r="J44" s="876"/>
      <c r="K44" s="1258"/>
      <c r="L44" s="1258"/>
      <c r="M44" s="877"/>
      <c r="N44" s="1258"/>
      <c r="O44" s="870">
        <f t="shared" ref="O44:O52" si="3">K44+L44+M44*N44</f>
        <v>0</v>
      </c>
    </row>
    <row r="45" spans="1:15" x14ac:dyDescent="0.25">
      <c r="A45" s="871"/>
      <c r="B45" s="872"/>
      <c r="C45" s="873"/>
      <c r="D45" s="873"/>
      <c r="E45" s="873"/>
      <c r="F45" s="874"/>
      <c r="G45" s="876"/>
      <c r="H45" s="874"/>
      <c r="I45" s="875"/>
      <c r="J45" s="876"/>
      <c r="K45" s="1258"/>
      <c r="L45" s="1258"/>
      <c r="M45" s="877"/>
      <c r="N45" s="1258"/>
      <c r="O45" s="870">
        <f t="shared" si="3"/>
        <v>0</v>
      </c>
    </row>
    <row r="46" spans="1:15" x14ac:dyDescent="0.25">
      <c r="A46" s="871"/>
      <c r="B46" s="872"/>
      <c r="C46" s="873"/>
      <c r="D46" s="873"/>
      <c r="E46" s="873"/>
      <c r="F46" s="874"/>
      <c r="G46" s="876"/>
      <c r="H46" s="874"/>
      <c r="I46" s="875"/>
      <c r="J46" s="876"/>
      <c r="K46" s="1258"/>
      <c r="L46" s="1258"/>
      <c r="M46" s="877"/>
      <c r="N46" s="1258"/>
      <c r="O46" s="870">
        <f t="shared" si="3"/>
        <v>0</v>
      </c>
    </row>
    <row r="47" spans="1:15" x14ac:dyDescent="0.25">
      <c r="A47" s="871"/>
      <c r="B47" s="872"/>
      <c r="C47" s="873"/>
      <c r="D47" s="873"/>
      <c r="E47" s="873"/>
      <c r="F47" s="874"/>
      <c r="G47" s="876"/>
      <c r="H47" s="874"/>
      <c r="I47" s="875"/>
      <c r="J47" s="876"/>
      <c r="K47" s="1258"/>
      <c r="L47" s="1258"/>
      <c r="M47" s="877"/>
      <c r="N47" s="1258"/>
      <c r="O47" s="870">
        <f t="shared" si="3"/>
        <v>0</v>
      </c>
    </row>
    <row r="48" spans="1:15" x14ac:dyDescent="0.25">
      <c r="A48" s="871"/>
      <c r="B48" s="872"/>
      <c r="C48" s="873"/>
      <c r="D48" s="873"/>
      <c r="E48" s="873"/>
      <c r="F48" s="874"/>
      <c r="G48" s="876"/>
      <c r="H48" s="874"/>
      <c r="I48" s="875"/>
      <c r="J48" s="876"/>
      <c r="K48" s="1258"/>
      <c r="L48" s="1258"/>
      <c r="M48" s="877"/>
      <c r="N48" s="1258"/>
      <c r="O48" s="870">
        <f t="shared" si="3"/>
        <v>0</v>
      </c>
    </row>
    <row r="49" spans="1:15" ht="15" customHeight="1" x14ac:dyDescent="0.25">
      <c r="A49" s="871"/>
      <c r="B49" s="872"/>
      <c r="C49" s="873"/>
      <c r="D49" s="873"/>
      <c r="E49" s="873"/>
      <c r="F49" s="874"/>
      <c r="G49" s="876"/>
      <c r="H49" s="874"/>
      <c r="I49" s="875"/>
      <c r="J49" s="876"/>
      <c r="K49" s="1258"/>
      <c r="L49" s="1258"/>
      <c r="M49" s="877"/>
      <c r="N49" s="1258"/>
      <c r="O49" s="870">
        <f t="shared" si="3"/>
        <v>0</v>
      </c>
    </row>
    <row r="50" spans="1:15" x14ac:dyDescent="0.25">
      <c r="A50" s="871"/>
      <c r="B50" s="872"/>
      <c r="C50" s="873"/>
      <c r="D50" s="873"/>
      <c r="E50" s="873"/>
      <c r="F50" s="874"/>
      <c r="G50" s="876"/>
      <c r="H50" s="874"/>
      <c r="I50" s="875"/>
      <c r="J50" s="876"/>
      <c r="K50" s="1258"/>
      <c r="L50" s="1258"/>
      <c r="M50" s="877"/>
      <c r="N50" s="1258"/>
      <c r="O50" s="870">
        <f t="shared" si="3"/>
        <v>0</v>
      </c>
    </row>
    <row r="51" spans="1:15" x14ac:dyDescent="0.25">
      <c r="A51" s="871"/>
      <c r="B51" s="872"/>
      <c r="C51" s="873"/>
      <c r="D51" s="873"/>
      <c r="E51" s="873"/>
      <c r="F51" s="874"/>
      <c r="G51" s="876"/>
      <c r="H51" s="874"/>
      <c r="I51" s="875"/>
      <c r="J51" s="876"/>
      <c r="K51" s="1258"/>
      <c r="L51" s="1258"/>
      <c r="M51" s="877"/>
      <c r="N51" s="1258"/>
      <c r="O51" s="870">
        <f t="shared" si="3"/>
        <v>0</v>
      </c>
    </row>
    <row r="52" spans="1:15" x14ac:dyDescent="0.25">
      <c r="A52" s="878"/>
      <c r="B52" s="879"/>
      <c r="C52" s="880"/>
      <c r="D52" s="880"/>
      <c r="E52" s="880"/>
      <c r="F52" s="881"/>
      <c r="G52" s="883"/>
      <c r="H52" s="881"/>
      <c r="I52" s="882"/>
      <c r="J52" s="883"/>
      <c r="K52" s="1277"/>
      <c r="L52" s="1277"/>
      <c r="M52" s="884"/>
      <c r="N52" s="1277"/>
      <c r="O52" s="870">
        <f t="shared" si="3"/>
        <v>0</v>
      </c>
    </row>
    <row r="53" spans="1:15" x14ac:dyDescent="0.25">
      <c r="A53" s="209"/>
      <c r="B53" s="136"/>
      <c r="C53" s="136"/>
      <c r="D53" s="136"/>
      <c r="E53" s="136"/>
      <c r="F53" s="136"/>
      <c r="G53" s="136"/>
      <c r="L53" s="136"/>
      <c r="M53" s="136"/>
      <c r="N53" s="1278" t="s">
        <v>394</v>
      </c>
      <c r="O53" s="885">
        <f>SUM(O43:O52)</f>
        <v>0</v>
      </c>
    </row>
    <row r="54" spans="1:15" ht="15.6" thickBot="1" x14ac:dyDescent="0.3">
      <c r="A54" s="121"/>
      <c r="B54" s="117"/>
      <c r="C54" s="117"/>
      <c r="D54" s="117"/>
      <c r="E54" s="117"/>
      <c r="F54" s="117"/>
      <c r="G54" s="117"/>
      <c r="L54" s="117"/>
      <c r="M54" s="117"/>
      <c r="N54" s="907" t="s">
        <v>369</v>
      </c>
      <c r="O54" s="886"/>
    </row>
    <row r="55" spans="1:15" ht="16.2" thickTop="1" thickBot="1" x14ac:dyDescent="0.3">
      <c r="A55" s="125"/>
      <c r="B55" s="122"/>
      <c r="C55" s="122"/>
      <c r="D55" s="122"/>
      <c r="E55" s="122"/>
      <c r="F55" s="122"/>
      <c r="G55" s="122"/>
      <c r="H55" s="122"/>
      <c r="I55" s="122"/>
      <c r="J55" s="122"/>
      <c r="K55" s="887"/>
      <c r="L55" s="298"/>
      <c r="M55" s="298"/>
      <c r="N55" s="298"/>
      <c r="O55" s="789"/>
    </row>
    <row r="56" spans="1:15" ht="15.6" thickTop="1" x14ac:dyDescent="0.25">
      <c r="A56" s="888" t="s">
        <v>395</v>
      </c>
      <c r="B56" s="889"/>
      <c r="C56" s="40"/>
      <c r="D56" s="40"/>
      <c r="E56" s="40"/>
      <c r="F56" s="40"/>
      <c r="G56" s="40"/>
      <c r="H56" s="40"/>
      <c r="I56" s="40"/>
      <c r="J56" s="40"/>
      <c r="K56" s="890"/>
    </row>
    <row r="57" spans="1:15" ht="27.6" x14ac:dyDescent="0.25">
      <c r="A57" s="664" t="s">
        <v>366</v>
      </c>
      <c r="B57" s="672" t="s">
        <v>3</v>
      </c>
      <c r="C57" s="2078" t="s">
        <v>36</v>
      </c>
      <c r="D57" s="2079"/>
      <c r="E57" s="2078" t="s">
        <v>20</v>
      </c>
      <c r="F57" s="2079"/>
      <c r="G57" s="2092" t="s">
        <v>396</v>
      </c>
      <c r="H57" s="2099"/>
      <c r="I57" s="2092" t="s">
        <v>51</v>
      </c>
      <c r="J57" s="2099"/>
      <c r="K57" s="891" t="s">
        <v>8</v>
      </c>
      <c r="L57" s="891"/>
      <c r="M57" s="662" t="s">
        <v>50</v>
      </c>
      <c r="N57" s="662" t="s">
        <v>397</v>
      </c>
      <c r="O57" s="663" t="s">
        <v>39</v>
      </c>
    </row>
    <row r="58" spans="1:15" x14ac:dyDescent="0.25">
      <c r="A58" s="863"/>
      <c r="B58" s="864"/>
      <c r="C58" s="118"/>
      <c r="D58" s="129"/>
      <c r="E58" s="118"/>
      <c r="F58" s="129"/>
      <c r="G58" s="118"/>
      <c r="H58" s="129"/>
      <c r="I58" s="118"/>
      <c r="J58" s="129"/>
      <c r="K58" s="118"/>
      <c r="L58" s="129"/>
      <c r="M58" s="892"/>
      <c r="N58" s="893"/>
      <c r="O58" s="894"/>
    </row>
    <row r="59" spans="1:15" x14ac:dyDescent="0.25">
      <c r="A59" s="158"/>
      <c r="B59" s="751"/>
      <c r="C59" s="750"/>
      <c r="D59" s="751"/>
      <c r="E59" s="750"/>
      <c r="F59" s="751"/>
      <c r="G59" s="750"/>
      <c r="H59" s="751"/>
      <c r="I59" s="750"/>
      <c r="J59" s="751"/>
      <c r="K59" s="750"/>
      <c r="L59" s="751"/>
      <c r="M59" s="895"/>
      <c r="N59" s="111"/>
      <c r="O59" s="896"/>
    </row>
    <row r="60" spans="1:15" x14ac:dyDescent="0.25">
      <c r="A60" s="158"/>
      <c r="B60" s="751"/>
      <c r="C60" s="750"/>
      <c r="D60" s="751"/>
      <c r="E60" s="750"/>
      <c r="F60" s="751"/>
      <c r="G60" s="750"/>
      <c r="H60" s="751"/>
      <c r="I60" s="750"/>
      <c r="J60" s="751"/>
      <c r="K60" s="750"/>
      <c r="L60" s="751"/>
      <c r="M60" s="897"/>
      <c r="N60" s="111"/>
      <c r="O60" s="896"/>
    </row>
    <row r="61" spans="1:15" x14ac:dyDescent="0.25">
      <c r="A61" s="158"/>
      <c r="B61" s="751"/>
      <c r="C61" s="750"/>
      <c r="D61" s="751"/>
      <c r="E61" s="750"/>
      <c r="F61" s="751"/>
      <c r="G61" s="750"/>
      <c r="H61" s="751"/>
      <c r="I61" s="750"/>
      <c r="J61" s="751"/>
      <c r="K61" s="750"/>
      <c r="L61" s="751"/>
      <c r="M61" s="897"/>
      <c r="N61" s="111"/>
      <c r="O61" s="896"/>
    </row>
    <row r="62" spans="1:15" x14ac:dyDescent="0.25">
      <c r="A62" s="158"/>
      <c r="B62" s="751"/>
      <c r="C62" s="750"/>
      <c r="D62" s="751"/>
      <c r="E62" s="750"/>
      <c r="F62" s="751"/>
      <c r="G62" s="750"/>
      <c r="H62" s="751"/>
      <c r="I62" s="750"/>
      <c r="J62" s="751"/>
      <c r="K62" s="750"/>
      <c r="L62" s="751"/>
      <c r="M62" s="897"/>
      <c r="N62" s="111"/>
      <c r="O62" s="896"/>
    </row>
    <row r="63" spans="1:15" x14ac:dyDescent="0.25">
      <c r="A63" s="158"/>
      <c r="B63" s="751"/>
      <c r="C63" s="750"/>
      <c r="D63" s="751"/>
      <c r="E63" s="750"/>
      <c r="F63" s="751"/>
      <c r="G63" s="750"/>
      <c r="H63" s="751"/>
      <c r="I63" s="750"/>
      <c r="J63" s="751"/>
      <c r="K63" s="750"/>
      <c r="L63" s="751"/>
      <c r="M63" s="897"/>
      <c r="N63" s="111"/>
      <c r="O63" s="896"/>
    </row>
    <row r="64" spans="1:15" x14ac:dyDescent="0.25">
      <c r="A64" s="158"/>
      <c r="B64" s="751"/>
      <c r="C64" s="750"/>
      <c r="D64" s="751"/>
      <c r="E64" s="750"/>
      <c r="F64" s="751"/>
      <c r="G64" s="750"/>
      <c r="H64" s="751"/>
      <c r="I64" s="750"/>
      <c r="J64" s="751"/>
      <c r="K64" s="750"/>
      <c r="L64" s="751"/>
      <c r="M64" s="897"/>
      <c r="N64" s="111"/>
      <c r="O64" s="896"/>
    </row>
    <row r="65" spans="1:15" x14ac:dyDescent="0.25">
      <c r="A65" s="158"/>
      <c r="B65" s="751"/>
      <c r="C65" s="750"/>
      <c r="D65" s="751"/>
      <c r="E65" s="750"/>
      <c r="F65" s="751"/>
      <c r="G65" s="750"/>
      <c r="H65" s="751"/>
      <c r="I65" s="750"/>
      <c r="J65" s="751"/>
      <c r="K65" s="750"/>
      <c r="L65" s="751"/>
      <c r="M65" s="897"/>
      <c r="N65" s="111"/>
      <c r="O65" s="896"/>
    </row>
    <row r="66" spans="1:15" x14ac:dyDescent="0.25">
      <c r="A66" s="158"/>
      <c r="B66" s="751"/>
      <c r="C66" s="750"/>
      <c r="D66" s="751"/>
      <c r="E66" s="750"/>
      <c r="F66" s="751"/>
      <c r="G66" s="750"/>
      <c r="H66" s="751"/>
      <c r="I66" s="750"/>
      <c r="J66" s="751"/>
      <c r="K66" s="750"/>
      <c r="L66" s="751"/>
      <c r="M66" s="897"/>
      <c r="N66" s="111"/>
      <c r="O66" s="896"/>
    </row>
    <row r="67" spans="1:15" ht="15.6" thickBot="1" x14ac:dyDescent="0.3">
      <c r="A67" s="159"/>
      <c r="B67" s="130"/>
      <c r="C67" s="120"/>
      <c r="D67" s="130"/>
      <c r="E67" s="120"/>
      <c r="F67" s="130"/>
      <c r="G67" s="120"/>
      <c r="H67" s="130"/>
      <c r="I67" s="120"/>
      <c r="J67" s="130"/>
      <c r="K67" s="120"/>
      <c r="L67" s="130"/>
      <c r="M67" s="898"/>
      <c r="N67" s="112"/>
      <c r="O67" s="899"/>
    </row>
    <row r="68" spans="1:15" x14ac:dyDescent="0.25">
      <c r="A68" s="209"/>
      <c r="B68" s="136"/>
      <c r="C68" s="136"/>
      <c r="D68" s="136"/>
      <c r="E68" s="136"/>
      <c r="F68" s="136"/>
      <c r="G68" s="136"/>
      <c r="H68" s="136"/>
      <c r="M68" s="136"/>
      <c r="N68" s="137" t="s">
        <v>398</v>
      </c>
      <c r="O68" s="885">
        <f>SUM(O58:O67)</f>
        <v>0</v>
      </c>
    </row>
    <row r="69" spans="1:15" ht="15.6" thickBot="1" x14ac:dyDescent="0.3">
      <c r="A69" s="121"/>
      <c r="B69" s="117"/>
      <c r="C69" s="117"/>
      <c r="D69" s="117"/>
      <c r="E69" s="117"/>
      <c r="F69" s="117"/>
      <c r="G69" s="117"/>
      <c r="H69" s="117"/>
      <c r="M69" s="117"/>
      <c r="N69" s="117" t="s">
        <v>369</v>
      </c>
      <c r="O69" s="814"/>
    </row>
    <row r="70" spans="1:15" ht="15.6" thickBot="1" x14ac:dyDescent="0.3">
      <c r="A70" s="142"/>
      <c r="B70" s="127"/>
      <c r="C70" s="127"/>
      <c r="D70" s="127"/>
      <c r="E70" s="127"/>
      <c r="F70" s="127"/>
      <c r="G70" s="127"/>
      <c r="H70" s="298"/>
      <c r="I70" s="298"/>
      <c r="J70" s="298"/>
      <c r="K70" s="298"/>
      <c r="L70" s="127"/>
      <c r="M70" s="127"/>
      <c r="N70" s="127"/>
      <c r="O70" s="900"/>
    </row>
    <row r="71" spans="1:15" ht="15.6" thickTop="1" x14ac:dyDescent="0.25">
      <c r="A71" s="888" t="s">
        <v>399</v>
      </c>
      <c r="B71" s="889"/>
      <c r="C71" s="40"/>
      <c r="D71" s="40"/>
      <c r="E71" s="40"/>
      <c r="F71" s="40"/>
      <c r="G71" s="40"/>
      <c r="H71" s="901"/>
      <c r="I71" s="901"/>
      <c r="J71" s="901"/>
      <c r="K71" s="901"/>
      <c r="L71" s="40"/>
      <c r="M71" s="40"/>
      <c r="N71" s="40"/>
      <c r="O71" s="856"/>
    </row>
    <row r="72" spans="1:15" ht="27.6" x14ac:dyDescent="0.25">
      <c r="A72" s="664" t="s">
        <v>366</v>
      </c>
      <c r="B72" s="672" t="s">
        <v>3</v>
      </c>
      <c r="C72" s="752" t="s">
        <v>36</v>
      </c>
      <c r="D72" s="660" t="s">
        <v>20</v>
      </c>
      <c r="E72" s="661" t="s">
        <v>41</v>
      </c>
      <c r="F72" s="661" t="s">
        <v>42</v>
      </c>
      <c r="G72" s="2078" t="s">
        <v>400</v>
      </c>
      <c r="H72" s="2100"/>
      <c r="I72" s="2101" t="s">
        <v>401</v>
      </c>
      <c r="J72" s="2102"/>
      <c r="K72" s="902" t="s">
        <v>402</v>
      </c>
      <c r="L72" s="2098" t="s">
        <v>52</v>
      </c>
      <c r="M72" s="2098"/>
      <c r="N72" s="662" t="s">
        <v>53</v>
      </c>
      <c r="O72" s="663" t="s">
        <v>39</v>
      </c>
    </row>
    <row r="73" spans="1:15" x14ac:dyDescent="0.25">
      <c r="A73" s="218"/>
      <c r="B73" s="903"/>
      <c r="C73" s="750"/>
      <c r="D73" s="750"/>
      <c r="E73" s="111"/>
      <c r="F73" s="111"/>
      <c r="G73" s="753"/>
      <c r="H73" s="754"/>
      <c r="I73" s="753"/>
      <c r="J73" s="754"/>
      <c r="K73" s="111"/>
      <c r="L73" s="753"/>
      <c r="M73" s="754"/>
      <c r="N73" s="111"/>
      <c r="O73" s="896"/>
    </row>
    <row r="74" spans="1:15" x14ac:dyDescent="0.25">
      <c r="A74" s="904"/>
      <c r="B74" s="903"/>
      <c r="C74" s="750"/>
      <c r="D74" s="750"/>
      <c r="E74" s="111"/>
      <c r="F74" s="111"/>
      <c r="G74" s="750"/>
      <c r="H74" s="751"/>
      <c r="I74" s="750"/>
      <c r="J74" s="751"/>
      <c r="K74" s="111"/>
      <c r="L74" s="750"/>
      <c r="M74" s="751"/>
      <c r="N74" s="111"/>
      <c r="O74" s="896"/>
    </row>
    <row r="75" spans="1:15" x14ac:dyDescent="0.25">
      <c r="A75" s="904"/>
      <c r="B75" s="903"/>
      <c r="C75" s="750"/>
      <c r="D75" s="750"/>
      <c r="E75" s="111"/>
      <c r="F75" s="111"/>
      <c r="G75" s="750"/>
      <c r="H75" s="751"/>
      <c r="I75" s="750"/>
      <c r="J75" s="751"/>
      <c r="K75" s="111"/>
      <c r="L75" s="750"/>
      <c r="M75" s="751"/>
      <c r="N75" s="111"/>
      <c r="O75" s="896"/>
    </row>
    <row r="76" spans="1:15" x14ac:dyDescent="0.25">
      <c r="A76" s="904"/>
      <c r="B76" s="903"/>
      <c r="C76" s="750"/>
      <c r="D76" s="750"/>
      <c r="E76" s="111"/>
      <c r="F76" s="111"/>
      <c r="G76" s="750"/>
      <c r="H76" s="751"/>
      <c r="I76" s="750"/>
      <c r="J76" s="751"/>
      <c r="K76" s="111"/>
      <c r="L76" s="750"/>
      <c r="M76" s="751"/>
      <c r="N76" s="111"/>
      <c r="O76" s="896"/>
    </row>
    <row r="77" spans="1:15" x14ac:dyDescent="0.25">
      <c r="A77" s="904"/>
      <c r="B77" s="903"/>
      <c r="C77" s="750"/>
      <c r="D77" s="750"/>
      <c r="E77" s="111"/>
      <c r="F77" s="111"/>
      <c r="G77" s="750"/>
      <c r="H77" s="751"/>
      <c r="I77" s="750"/>
      <c r="J77" s="751"/>
      <c r="K77" s="111"/>
      <c r="L77" s="750"/>
      <c r="M77" s="751"/>
      <c r="N77" s="111"/>
      <c r="O77" s="896"/>
    </row>
    <row r="78" spans="1:15" x14ac:dyDescent="0.25">
      <c r="A78" s="905"/>
      <c r="B78" s="906"/>
      <c r="C78" s="750"/>
      <c r="D78" s="750"/>
      <c r="E78" s="111"/>
      <c r="F78" s="111"/>
      <c r="G78" s="750"/>
      <c r="H78" s="751"/>
      <c r="I78" s="750"/>
      <c r="J78" s="751"/>
      <c r="K78" s="111"/>
      <c r="L78" s="750"/>
      <c r="M78" s="751"/>
      <c r="N78" s="111"/>
      <c r="O78" s="896"/>
    </row>
    <row r="79" spans="1:15" x14ac:dyDescent="0.25">
      <c r="A79" s="158"/>
      <c r="B79" s="755"/>
      <c r="C79" s="750"/>
      <c r="D79" s="750"/>
      <c r="E79" s="111"/>
      <c r="F79" s="111"/>
      <c r="G79" s="750"/>
      <c r="H79" s="751"/>
      <c r="I79" s="750"/>
      <c r="J79" s="751"/>
      <c r="K79" s="111"/>
      <c r="L79" s="750"/>
      <c r="M79" s="751"/>
      <c r="N79" s="111"/>
      <c r="O79" s="896"/>
    </row>
    <row r="80" spans="1:15" x14ac:dyDescent="0.25">
      <c r="A80" s="158"/>
      <c r="B80" s="755"/>
      <c r="C80" s="750"/>
      <c r="D80" s="750"/>
      <c r="E80" s="111"/>
      <c r="F80" s="111"/>
      <c r="G80" s="750"/>
      <c r="H80" s="751"/>
      <c r="I80" s="750"/>
      <c r="J80" s="751"/>
      <c r="K80" s="111"/>
      <c r="L80" s="750"/>
      <c r="M80" s="751"/>
      <c r="N80" s="111"/>
      <c r="O80" s="896"/>
    </row>
    <row r="81" spans="1:15" x14ac:dyDescent="0.25">
      <c r="A81" s="158"/>
      <c r="B81" s="755"/>
      <c r="C81" s="750"/>
      <c r="D81" s="750"/>
      <c r="E81" s="111"/>
      <c r="F81" s="111"/>
      <c r="G81" s="750"/>
      <c r="H81" s="751"/>
      <c r="I81" s="750"/>
      <c r="J81" s="751"/>
      <c r="K81" s="111"/>
      <c r="L81" s="750"/>
      <c r="M81" s="751"/>
      <c r="N81" s="111"/>
      <c r="O81" s="896"/>
    </row>
    <row r="82" spans="1:15" ht="15.6" thickBot="1" x14ac:dyDescent="0.3">
      <c r="A82" s="159"/>
      <c r="B82" s="132"/>
      <c r="C82" s="120"/>
      <c r="D82" s="120"/>
      <c r="E82" s="112"/>
      <c r="F82" s="112"/>
      <c r="G82" s="120"/>
      <c r="H82" s="130"/>
      <c r="I82" s="120"/>
      <c r="J82" s="130"/>
      <c r="K82" s="112"/>
      <c r="L82" s="120"/>
      <c r="M82" s="130"/>
      <c r="N82" s="112"/>
      <c r="O82" s="899"/>
    </row>
    <row r="83" spans="1:15" x14ac:dyDescent="0.25">
      <c r="A83" s="209"/>
      <c r="B83" s="136"/>
      <c r="C83" s="136"/>
      <c r="D83" s="136"/>
      <c r="E83" s="136"/>
      <c r="F83" s="136"/>
      <c r="G83" s="136"/>
      <c r="L83" s="136"/>
      <c r="M83" s="136"/>
      <c r="N83" s="137" t="s">
        <v>403</v>
      </c>
      <c r="O83" s="885">
        <f>SUM(O73:O82)</f>
        <v>0</v>
      </c>
    </row>
    <row r="84" spans="1:15" ht="15.6" thickBot="1" x14ac:dyDescent="0.3">
      <c r="A84" s="121"/>
      <c r="B84" s="117"/>
      <c r="C84" s="117"/>
      <c r="D84" s="117"/>
      <c r="E84" s="117"/>
      <c r="F84" s="117"/>
      <c r="G84" s="117"/>
      <c r="L84" s="117"/>
      <c r="M84" s="117"/>
      <c r="N84" s="117" t="s">
        <v>369</v>
      </c>
      <c r="O84" s="814"/>
    </row>
    <row r="85" spans="1:15" ht="15.6" thickBot="1" x14ac:dyDescent="0.3">
      <c r="A85" s="121"/>
      <c r="B85" s="117"/>
      <c r="C85" s="117"/>
      <c r="D85" s="117"/>
      <c r="E85" s="117"/>
      <c r="F85" s="117"/>
      <c r="G85" s="117"/>
      <c r="H85" s="298"/>
      <c r="I85" s="298"/>
      <c r="J85" s="298"/>
      <c r="K85" s="298"/>
      <c r="L85" s="117"/>
      <c r="M85" s="117"/>
      <c r="N85" s="907"/>
      <c r="O85" s="1279"/>
    </row>
    <row r="86" spans="1:15" ht="15.6" thickTop="1" x14ac:dyDescent="0.25">
      <c r="A86" s="123"/>
      <c r="B86" s="124"/>
      <c r="C86" s="124"/>
      <c r="D86" s="124"/>
      <c r="E86" s="124"/>
      <c r="F86" s="124"/>
      <c r="G86" s="124"/>
      <c r="L86" s="124"/>
      <c r="M86" s="124"/>
      <c r="N86" s="124" t="s">
        <v>404</v>
      </c>
      <c r="O86" s="908">
        <f>O35+O53+O68+O83</f>
        <v>0</v>
      </c>
    </row>
    <row r="87" spans="1:15" ht="15.6" thickBot="1" x14ac:dyDescent="0.3">
      <c r="A87" s="121"/>
      <c r="B87" s="117"/>
      <c r="C87" s="117"/>
      <c r="D87" s="117"/>
      <c r="E87" s="117"/>
      <c r="F87" s="117"/>
      <c r="G87" s="117"/>
      <c r="L87" s="117"/>
      <c r="M87" s="117"/>
      <c r="N87" s="117" t="s">
        <v>369</v>
      </c>
      <c r="O87" s="909">
        <f>O36+O53+O69+O84</f>
        <v>0</v>
      </c>
    </row>
    <row r="88" spans="1:15" ht="15.6" thickBot="1" x14ac:dyDescent="0.3">
      <c r="A88" s="910"/>
      <c r="B88" s="298"/>
      <c r="C88" s="298"/>
      <c r="D88" s="298"/>
      <c r="E88" s="298"/>
      <c r="F88" s="298"/>
      <c r="G88" s="298"/>
      <c r="H88" s="298"/>
      <c r="I88" s="298"/>
      <c r="J88" s="298"/>
      <c r="K88" s="298"/>
      <c r="L88" s="298"/>
      <c r="M88" s="298"/>
      <c r="N88" s="911" t="s">
        <v>387</v>
      </c>
      <c r="O88" s="1280">
        <f>O86-O87</f>
        <v>0</v>
      </c>
    </row>
    <row r="89" spans="1:15" ht="15.6" thickTop="1" x14ac:dyDescent="0.25"/>
    <row r="90" spans="1:15" x14ac:dyDescent="0.25">
      <c r="B90" s="912" t="s">
        <v>405</v>
      </c>
      <c r="G90" s="913"/>
      <c r="H90" s="913"/>
    </row>
    <row r="91" spans="1:15" x14ac:dyDescent="0.25">
      <c r="B91" s="912" t="s">
        <v>406</v>
      </c>
    </row>
    <row r="92" spans="1:15" x14ac:dyDescent="0.25">
      <c r="A92" s="237"/>
      <c r="B92" s="912" t="s">
        <v>407</v>
      </c>
      <c r="C92" s="237"/>
      <c r="D92" s="237"/>
      <c r="E92" s="237"/>
      <c r="F92" s="237"/>
      <c r="G92" s="237"/>
      <c r="H92" s="237"/>
      <c r="I92" s="237"/>
      <c r="J92" s="237"/>
      <c r="K92" s="237"/>
    </row>
  </sheetData>
  <mergeCells count="28">
    <mergeCell ref="L72:M72"/>
    <mergeCell ref="C57:D57"/>
    <mergeCell ref="E57:F57"/>
    <mergeCell ref="G57:H57"/>
    <mergeCell ref="I57:J57"/>
    <mergeCell ref="G72:H72"/>
    <mergeCell ref="I72:J72"/>
    <mergeCell ref="M21:M22"/>
    <mergeCell ref="N21:N22"/>
    <mergeCell ref="O21:O22"/>
    <mergeCell ref="F42:G42"/>
    <mergeCell ref="H42:J42"/>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33" type="noConversion"/>
  <printOptions horizontalCentered="1"/>
  <pageMargins left="0.55118110236220474" right="0.55118110236220474" top="0.78740157480314965" bottom="0.78740157480314965" header="0.51181102362204722" footer="0.51181102362204722"/>
  <pageSetup paperSize="9" scale="71" orientation="landscape" horizontalDpi="300" verticalDpi="300" r:id="rId1"/>
  <headerFooter alignWithMargins="0">
    <oddFooter>&amp;L&amp;8&amp;F (Rev 1 of 310805)&amp;C&amp;8&amp;A&amp;R&amp;8PRINT DATE: &amp;D</oddFooter>
  </headerFooter>
  <rowBreaks count="1" manualBreakCount="1">
    <brk id="6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J68"/>
  <sheetViews>
    <sheetView zoomScaleNormal="100" zoomScaleSheetLayoutView="75" workbookViewId="0">
      <selection activeCell="L14" sqref="L14"/>
    </sheetView>
  </sheetViews>
  <sheetFormatPr defaultRowHeight="15" x14ac:dyDescent="0.25"/>
  <cols>
    <col min="1" max="1" width="5.33203125" customWidth="1"/>
    <col min="2" max="2" width="9.58203125" customWidth="1"/>
    <col min="3" max="3" width="10.75" customWidth="1"/>
    <col min="8" max="8" width="10" customWidth="1"/>
    <col min="9" max="9" width="11.4140625" customWidth="1"/>
    <col min="10" max="10" width="13" customWidth="1"/>
  </cols>
  <sheetData>
    <row r="1" spans="1:10" ht="18" thickTop="1" x14ac:dyDescent="0.25">
      <c r="A1" s="1172" t="s">
        <v>54</v>
      </c>
      <c r="B1" s="105"/>
      <c r="C1" s="105"/>
      <c r="D1" s="105"/>
      <c r="E1" s="105"/>
      <c r="F1" s="105"/>
      <c r="G1" s="105"/>
      <c r="H1" s="105"/>
      <c r="I1" s="105"/>
      <c r="J1" s="943"/>
    </row>
    <row r="2" spans="1:10" ht="15.6" x14ac:dyDescent="0.25">
      <c r="A2" s="149" t="s">
        <v>150</v>
      </c>
      <c r="B2" s="150"/>
      <c r="C2" s="150"/>
      <c r="D2" s="40"/>
      <c r="G2" s="219" t="s">
        <v>151</v>
      </c>
      <c r="H2" s="150"/>
      <c r="I2" s="150"/>
      <c r="J2" s="720"/>
    </row>
    <row r="3" spans="1:10" ht="15.6" x14ac:dyDescent="0.25">
      <c r="A3" s="2112" t="s">
        <v>26</v>
      </c>
      <c r="B3" s="2113"/>
      <c r="C3" s="2113"/>
      <c r="D3" s="1185">
        <f>'Input Data'!D29</f>
        <v>0</v>
      </c>
      <c r="E3" s="2114" t="s">
        <v>203</v>
      </c>
      <c r="F3" s="2114"/>
      <c r="G3" s="1290">
        <f>'Input Data'!D7</f>
        <v>0</v>
      </c>
      <c r="H3" s="40"/>
      <c r="I3" s="40"/>
      <c r="J3" s="720"/>
    </row>
    <row r="4" spans="1:10" ht="15.6" thickBot="1" x14ac:dyDescent="0.3">
      <c r="A4" s="142"/>
      <c r="B4" s="127"/>
      <c r="C4" s="127"/>
      <c r="D4" s="127"/>
      <c r="E4" s="127"/>
      <c r="F4" s="127"/>
      <c r="G4" s="127"/>
      <c r="H4" s="127"/>
      <c r="I4" s="127"/>
      <c r="J4" s="789"/>
    </row>
    <row r="5" spans="1:10" ht="15.6" thickTop="1" x14ac:dyDescent="0.25">
      <c r="A5" s="151"/>
      <c r="B5" s="107"/>
      <c r="C5" s="107"/>
      <c r="D5" s="107"/>
      <c r="E5" s="107"/>
      <c r="F5" s="107"/>
      <c r="G5" s="107"/>
      <c r="H5" s="107"/>
      <c r="I5" s="107"/>
      <c r="J5" s="798"/>
    </row>
    <row r="6" spans="1:10" x14ac:dyDescent="0.25">
      <c r="A6" s="152" t="s">
        <v>12</v>
      </c>
      <c r="B6" s="923"/>
      <c r="C6" s="114"/>
      <c r="D6" s="114"/>
      <c r="E6" s="114"/>
      <c r="F6" s="114"/>
      <c r="G6" s="114"/>
      <c r="H6" s="114"/>
      <c r="I6" s="114"/>
      <c r="J6" s="153"/>
    </row>
    <row r="7" spans="1:10" ht="26.4" x14ac:dyDescent="0.25">
      <c r="A7" s="925" t="s">
        <v>362</v>
      </c>
      <c r="B7" s="861" t="s">
        <v>3</v>
      </c>
      <c r="C7" s="927" t="s">
        <v>55</v>
      </c>
      <c r="D7" s="927"/>
      <c r="E7" s="927"/>
      <c r="F7" s="927"/>
      <c r="G7" s="928"/>
      <c r="H7" s="929" t="s">
        <v>14</v>
      </c>
      <c r="I7" s="929" t="s">
        <v>409</v>
      </c>
      <c r="J7" s="154" t="s">
        <v>39</v>
      </c>
    </row>
    <row r="8" spans="1:10" x14ac:dyDescent="0.25">
      <c r="A8" s="667"/>
      <c r="B8" s="144"/>
      <c r="C8" s="768"/>
      <c r="D8" s="768"/>
      <c r="E8" s="768"/>
      <c r="F8" s="768"/>
      <c r="G8" s="765"/>
      <c r="H8" s="135"/>
      <c r="I8" s="1281"/>
      <c r="J8" s="1282">
        <f t="shared" ref="J8:J17" si="0">H8*I8</f>
        <v>0</v>
      </c>
    </row>
    <row r="9" spans="1:10" x14ac:dyDescent="0.25">
      <c r="A9" s="158"/>
      <c r="B9" s="111"/>
      <c r="C9" s="767"/>
      <c r="D9" s="767"/>
      <c r="E9" s="767"/>
      <c r="F9" s="767"/>
      <c r="G9" s="762"/>
      <c r="H9" s="111"/>
      <c r="I9" s="1258"/>
      <c r="J9" s="806">
        <f t="shared" si="0"/>
        <v>0</v>
      </c>
    </row>
    <row r="10" spans="1:10" x14ac:dyDescent="0.25">
      <c r="A10" s="158"/>
      <c r="B10" s="111"/>
      <c r="C10" s="767"/>
      <c r="D10" s="767"/>
      <c r="E10" s="767"/>
      <c r="F10" s="767"/>
      <c r="G10" s="762"/>
      <c r="H10" s="111"/>
      <c r="I10" s="1258"/>
      <c r="J10" s="806">
        <f t="shared" si="0"/>
        <v>0</v>
      </c>
    </row>
    <row r="11" spans="1:10" x14ac:dyDescent="0.25">
      <c r="A11" s="158"/>
      <c r="B11" s="111"/>
      <c r="C11" s="767"/>
      <c r="D11" s="767"/>
      <c r="E11" s="767"/>
      <c r="F11" s="767"/>
      <c r="G11" s="762"/>
      <c r="H11" s="111"/>
      <c r="I11" s="1258"/>
      <c r="J11" s="806">
        <f t="shared" si="0"/>
        <v>0</v>
      </c>
    </row>
    <row r="12" spans="1:10" x14ac:dyDescent="0.25">
      <c r="A12" s="158"/>
      <c r="B12" s="111"/>
      <c r="C12" s="767"/>
      <c r="D12" s="767"/>
      <c r="E12" s="767"/>
      <c r="F12" s="767"/>
      <c r="G12" s="762"/>
      <c r="H12" s="111"/>
      <c r="I12" s="1258"/>
      <c r="J12" s="806">
        <f t="shared" si="0"/>
        <v>0</v>
      </c>
    </row>
    <row r="13" spans="1:10" x14ac:dyDescent="0.25">
      <c r="A13" s="158"/>
      <c r="B13" s="111"/>
      <c r="C13" s="767"/>
      <c r="D13" s="767"/>
      <c r="E13" s="767"/>
      <c r="F13" s="767"/>
      <c r="G13" s="762"/>
      <c r="H13" s="111"/>
      <c r="I13" s="1258"/>
      <c r="J13" s="806">
        <f t="shared" si="0"/>
        <v>0</v>
      </c>
    </row>
    <row r="14" spans="1:10" x14ac:dyDescent="0.25">
      <c r="A14" s="158"/>
      <c r="B14" s="111"/>
      <c r="C14" s="767"/>
      <c r="D14" s="767"/>
      <c r="E14" s="767"/>
      <c r="F14" s="767"/>
      <c r="G14" s="762"/>
      <c r="H14" s="111"/>
      <c r="I14" s="1258"/>
      <c r="J14" s="806">
        <f t="shared" si="0"/>
        <v>0</v>
      </c>
    </row>
    <row r="15" spans="1:10" x14ac:dyDescent="0.25">
      <c r="A15" s="158"/>
      <c r="B15" s="111"/>
      <c r="C15" s="767"/>
      <c r="D15" s="767"/>
      <c r="E15" s="767"/>
      <c r="F15" s="767"/>
      <c r="G15" s="762"/>
      <c r="H15" s="111"/>
      <c r="I15" s="1258"/>
      <c r="J15" s="806">
        <f t="shared" si="0"/>
        <v>0</v>
      </c>
    </row>
    <row r="16" spans="1:10" x14ac:dyDescent="0.25">
      <c r="A16" s="158"/>
      <c r="B16" s="111"/>
      <c r="C16" s="767"/>
      <c r="D16" s="767"/>
      <c r="E16" s="767"/>
      <c r="F16" s="767"/>
      <c r="G16" s="762"/>
      <c r="H16" s="111"/>
      <c r="I16" s="1258"/>
      <c r="J16" s="806">
        <f t="shared" si="0"/>
        <v>0</v>
      </c>
    </row>
    <row r="17" spans="1:10" ht="15.6" thickBot="1" x14ac:dyDescent="0.3">
      <c r="A17" s="205"/>
      <c r="B17" s="145"/>
      <c r="C17" s="766"/>
      <c r="D17" s="766"/>
      <c r="E17" s="766"/>
      <c r="F17" s="766"/>
      <c r="G17" s="763"/>
      <c r="H17" s="112"/>
      <c r="I17" s="1277"/>
      <c r="J17" s="809">
        <f t="shared" si="0"/>
        <v>0</v>
      </c>
    </row>
    <row r="18" spans="1:10" x14ac:dyDescent="0.25">
      <c r="A18" s="209"/>
      <c r="B18" s="136"/>
      <c r="C18" s="136"/>
      <c r="D18" s="136"/>
      <c r="E18" s="136"/>
      <c r="F18" s="136"/>
      <c r="G18" s="136"/>
      <c r="H18" s="136"/>
      <c r="I18" s="1278" t="s">
        <v>643</v>
      </c>
      <c r="J18" s="930">
        <f>SUM(J8:J17)</f>
        <v>0</v>
      </c>
    </row>
    <row r="19" spans="1:10" ht="15.6" thickBot="1" x14ac:dyDescent="0.3">
      <c r="A19" s="121"/>
      <c r="B19" s="117"/>
      <c r="C19" s="117"/>
      <c r="D19" s="117"/>
      <c r="E19" s="117"/>
      <c r="F19" s="117"/>
      <c r="G19" s="117"/>
      <c r="H19" s="117"/>
      <c r="I19" s="907" t="s">
        <v>369</v>
      </c>
      <c r="J19" s="1173"/>
    </row>
    <row r="20" spans="1:10" ht="16.2" thickTop="1" thickBot="1" x14ac:dyDescent="0.3">
      <c r="A20" s="1178"/>
      <c r="B20" s="1168"/>
      <c r="C20" s="1168"/>
      <c r="D20" s="1168"/>
      <c r="E20" s="1168"/>
      <c r="F20" s="1168"/>
      <c r="G20" s="1168"/>
      <c r="H20" s="1168"/>
      <c r="I20" s="1179"/>
      <c r="J20" s="1180"/>
    </row>
    <row r="21" spans="1:10" ht="15.6" thickTop="1" x14ac:dyDescent="0.25">
      <c r="A21" s="888" t="s">
        <v>13</v>
      </c>
      <c r="B21" s="889"/>
      <c r="C21" s="40"/>
      <c r="D21" s="40"/>
      <c r="E21" s="40"/>
      <c r="F21" s="40"/>
      <c r="G21" s="40"/>
      <c r="H21" s="40"/>
      <c r="I21" s="855"/>
      <c r="J21" s="1182"/>
    </row>
    <row r="22" spans="1:10" ht="26.4" x14ac:dyDescent="0.25">
      <c r="A22" s="925" t="s">
        <v>362</v>
      </c>
      <c r="B22" s="673" t="s">
        <v>3</v>
      </c>
      <c r="C22" s="927" t="s">
        <v>410</v>
      </c>
      <c r="D22" s="927"/>
      <c r="E22" s="927"/>
      <c r="F22" s="928"/>
      <c r="G22" s="929" t="s">
        <v>14</v>
      </c>
      <c r="H22" s="929" t="s">
        <v>56</v>
      </c>
      <c r="I22" s="929" t="s">
        <v>409</v>
      </c>
      <c r="J22" s="935" t="s">
        <v>39</v>
      </c>
    </row>
    <row r="23" spans="1:10" x14ac:dyDescent="0.25">
      <c r="A23" s="667"/>
      <c r="B23" s="144"/>
      <c r="C23" s="768"/>
      <c r="D23" s="768"/>
      <c r="E23" s="768"/>
      <c r="F23" s="765"/>
      <c r="G23" s="110"/>
      <c r="H23" s="110"/>
      <c r="I23" s="1276"/>
      <c r="J23" s="803">
        <f t="shared" ref="J23:J32" si="1">G23*H23*I23</f>
        <v>0</v>
      </c>
    </row>
    <row r="24" spans="1:10" x14ac:dyDescent="0.25">
      <c r="A24" s="158"/>
      <c r="B24" s="111"/>
      <c r="C24" s="767"/>
      <c r="D24" s="767"/>
      <c r="E24" s="767"/>
      <c r="F24" s="762"/>
      <c r="G24" s="111"/>
      <c r="H24" s="111"/>
      <c r="I24" s="1258"/>
      <c r="J24" s="806">
        <f t="shared" si="1"/>
        <v>0</v>
      </c>
    </row>
    <row r="25" spans="1:10" x14ac:dyDescent="0.25">
      <c r="A25" s="158"/>
      <c r="B25" s="111"/>
      <c r="C25" s="767"/>
      <c r="D25" s="767"/>
      <c r="E25" s="767"/>
      <c r="F25" s="762"/>
      <c r="G25" s="111"/>
      <c r="H25" s="111"/>
      <c r="I25" s="1258"/>
      <c r="J25" s="806">
        <f t="shared" si="1"/>
        <v>0</v>
      </c>
    </row>
    <row r="26" spans="1:10" x14ac:dyDescent="0.25">
      <c r="A26" s="158"/>
      <c r="B26" s="111"/>
      <c r="C26" s="767"/>
      <c r="D26" s="767"/>
      <c r="E26" s="767"/>
      <c r="F26" s="762"/>
      <c r="G26" s="111"/>
      <c r="H26" s="111"/>
      <c r="I26" s="1258"/>
      <c r="J26" s="806">
        <f t="shared" si="1"/>
        <v>0</v>
      </c>
    </row>
    <row r="27" spans="1:10" x14ac:dyDescent="0.25">
      <c r="A27" s="158"/>
      <c r="B27" s="111"/>
      <c r="C27" s="767"/>
      <c r="D27" s="767"/>
      <c r="E27" s="767"/>
      <c r="F27" s="762"/>
      <c r="G27" s="111"/>
      <c r="H27" s="111"/>
      <c r="I27" s="1258"/>
      <c r="J27" s="806">
        <f t="shared" si="1"/>
        <v>0</v>
      </c>
    </row>
    <row r="28" spans="1:10" x14ac:dyDescent="0.25">
      <c r="A28" s="158"/>
      <c r="B28" s="111"/>
      <c r="C28" s="767"/>
      <c r="D28" s="767"/>
      <c r="E28" s="767"/>
      <c r="F28" s="762"/>
      <c r="G28" s="111"/>
      <c r="H28" s="111"/>
      <c r="I28" s="1258"/>
      <c r="J28" s="806">
        <f t="shared" si="1"/>
        <v>0</v>
      </c>
    </row>
    <row r="29" spans="1:10" x14ac:dyDescent="0.25">
      <c r="A29" s="158"/>
      <c r="B29" s="111"/>
      <c r="C29" s="767"/>
      <c r="D29" s="767"/>
      <c r="E29" s="767"/>
      <c r="F29" s="762"/>
      <c r="G29" s="111"/>
      <c r="H29" s="111"/>
      <c r="I29" s="1258"/>
      <c r="J29" s="806">
        <f t="shared" si="1"/>
        <v>0</v>
      </c>
    </row>
    <row r="30" spans="1:10" x14ac:dyDescent="0.25">
      <c r="A30" s="158"/>
      <c r="B30" s="111"/>
      <c r="C30" s="767"/>
      <c r="D30" s="767"/>
      <c r="E30" s="767"/>
      <c r="F30" s="762"/>
      <c r="G30" s="111"/>
      <c r="H30" s="111"/>
      <c r="I30" s="1258"/>
      <c r="J30" s="806">
        <f t="shared" si="1"/>
        <v>0</v>
      </c>
    </row>
    <row r="31" spans="1:10" x14ac:dyDescent="0.25">
      <c r="A31" s="158"/>
      <c r="B31" s="111"/>
      <c r="C31" s="767"/>
      <c r="D31" s="767"/>
      <c r="E31" s="767"/>
      <c r="F31" s="762"/>
      <c r="G31" s="111"/>
      <c r="H31" s="111"/>
      <c r="I31" s="1258"/>
      <c r="J31" s="806">
        <f t="shared" si="1"/>
        <v>0</v>
      </c>
    </row>
    <row r="32" spans="1:10" ht="15.6" thickBot="1" x14ac:dyDescent="0.3">
      <c r="A32" s="205"/>
      <c r="B32" s="145"/>
      <c r="C32" s="766"/>
      <c r="D32" s="766"/>
      <c r="E32" s="766"/>
      <c r="F32" s="763"/>
      <c r="G32" s="112"/>
      <c r="H32" s="112"/>
      <c r="I32" s="1277"/>
      <c r="J32" s="809">
        <f t="shared" si="1"/>
        <v>0</v>
      </c>
    </row>
    <row r="33" spans="1:10" x14ac:dyDescent="0.25">
      <c r="A33" s="209"/>
      <c r="B33" s="136"/>
      <c r="C33" s="136"/>
      <c r="D33" s="136"/>
      <c r="E33" s="136"/>
      <c r="F33" s="136"/>
      <c r="G33" s="136"/>
      <c r="H33" s="136"/>
      <c r="I33" s="1278" t="s">
        <v>644</v>
      </c>
      <c r="J33" s="930">
        <f>SUM(J23:J32)</f>
        <v>0</v>
      </c>
    </row>
    <row r="34" spans="1:10" ht="15.6" thickBot="1" x14ac:dyDescent="0.3">
      <c r="A34" s="121"/>
      <c r="B34" s="117"/>
      <c r="C34" s="117"/>
      <c r="D34" s="117"/>
      <c r="E34" s="117"/>
      <c r="F34" s="117"/>
      <c r="G34" s="117"/>
      <c r="H34" s="117"/>
      <c r="I34" s="907" t="s">
        <v>369</v>
      </c>
      <c r="J34" s="1173"/>
    </row>
    <row r="35" spans="1:10" ht="16.2" thickTop="1" thickBot="1" x14ac:dyDescent="0.3">
      <c r="A35" s="1178"/>
      <c r="B35" s="1168"/>
      <c r="C35" s="1168"/>
      <c r="D35" s="1168"/>
      <c r="E35" s="1168"/>
      <c r="F35" s="1168"/>
      <c r="G35" s="1168"/>
      <c r="H35" s="1168"/>
      <c r="I35" s="1179"/>
      <c r="J35" s="1180"/>
    </row>
    <row r="36" spans="1:10" ht="15.6" thickTop="1" x14ac:dyDescent="0.25">
      <c r="A36" s="888" t="s">
        <v>57</v>
      </c>
      <c r="B36" s="889"/>
      <c r="C36" s="40"/>
      <c r="D36" s="40"/>
      <c r="E36" s="40"/>
      <c r="F36" s="40"/>
      <c r="G36" s="40"/>
      <c r="H36" s="40"/>
      <c r="I36" s="855"/>
      <c r="J36" s="1181"/>
    </row>
    <row r="37" spans="1:10" ht="30" x14ac:dyDescent="0.25">
      <c r="A37" s="925" t="s">
        <v>362</v>
      </c>
      <c r="B37" s="673" t="s">
        <v>3</v>
      </c>
      <c r="C37" s="927" t="s">
        <v>410</v>
      </c>
      <c r="D37" s="927"/>
      <c r="E37" s="927"/>
      <c r="F37" s="927"/>
      <c r="G37" s="928"/>
      <c r="H37" s="109" t="s">
        <v>58</v>
      </c>
      <c r="I37" s="109" t="s">
        <v>409</v>
      </c>
      <c r="J37" s="935" t="s">
        <v>39</v>
      </c>
    </row>
    <row r="38" spans="1:10" x14ac:dyDescent="0.25">
      <c r="A38" s="667"/>
      <c r="B38" s="144"/>
      <c r="C38" s="768"/>
      <c r="D38" s="768"/>
      <c r="E38" s="768"/>
      <c r="F38" s="768"/>
      <c r="G38" s="765"/>
      <c r="H38" s="110"/>
      <c r="I38" s="1276"/>
      <c r="J38" s="803">
        <f t="shared" ref="J38:J47" si="2">H38*I38</f>
        <v>0</v>
      </c>
    </row>
    <row r="39" spans="1:10" x14ac:dyDescent="0.25">
      <c r="A39" s="158"/>
      <c r="B39" s="111"/>
      <c r="C39" s="767"/>
      <c r="D39" s="767"/>
      <c r="E39" s="767"/>
      <c r="F39" s="767"/>
      <c r="G39" s="762"/>
      <c r="H39" s="111"/>
      <c r="I39" s="1258"/>
      <c r="J39" s="806">
        <f t="shared" si="2"/>
        <v>0</v>
      </c>
    </row>
    <row r="40" spans="1:10" x14ac:dyDescent="0.25">
      <c r="A40" s="158"/>
      <c r="B40" s="111"/>
      <c r="C40" s="767"/>
      <c r="D40" s="767"/>
      <c r="E40" s="767"/>
      <c r="F40" s="767"/>
      <c r="G40" s="762"/>
      <c r="H40" s="111"/>
      <c r="I40" s="1258"/>
      <c r="J40" s="806">
        <f t="shared" si="2"/>
        <v>0</v>
      </c>
    </row>
    <row r="41" spans="1:10" x14ac:dyDescent="0.25">
      <c r="A41" s="158"/>
      <c r="B41" s="111"/>
      <c r="C41" s="767"/>
      <c r="D41" s="767"/>
      <c r="E41" s="767"/>
      <c r="F41" s="767"/>
      <c r="G41" s="762"/>
      <c r="H41" s="111"/>
      <c r="I41" s="1258"/>
      <c r="J41" s="806">
        <f t="shared" si="2"/>
        <v>0</v>
      </c>
    </row>
    <row r="42" spans="1:10" x14ac:dyDescent="0.25">
      <c r="A42" s="158"/>
      <c r="B42" s="111"/>
      <c r="C42" s="767"/>
      <c r="D42" s="767"/>
      <c r="E42" s="767"/>
      <c r="F42" s="767"/>
      <c r="G42" s="762"/>
      <c r="H42" s="111"/>
      <c r="I42" s="1258"/>
      <c r="J42" s="806">
        <f t="shared" si="2"/>
        <v>0</v>
      </c>
    </row>
    <row r="43" spans="1:10" x14ac:dyDescent="0.25">
      <c r="A43" s="158"/>
      <c r="B43" s="111"/>
      <c r="C43" s="767"/>
      <c r="D43" s="767"/>
      <c r="E43" s="767"/>
      <c r="F43" s="767"/>
      <c r="G43" s="762"/>
      <c r="H43" s="111"/>
      <c r="I43" s="1258"/>
      <c r="J43" s="806">
        <f t="shared" si="2"/>
        <v>0</v>
      </c>
    </row>
    <row r="44" spans="1:10" x14ac:dyDescent="0.25">
      <c r="A44" s="158"/>
      <c r="B44" s="111"/>
      <c r="C44" s="767"/>
      <c r="D44" s="767"/>
      <c r="E44" s="767"/>
      <c r="F44" s="767"/>
      <c r="G44" s="762"/>
      <c r="H44" s="111"/>
      <c r="I44" s="1258"/>
      <c r="J44" s="806">
        <f t="shared" si="2"/>
        <v>0</v>
      </c>
    </row>
    <row r="45" spans="1:10" x14ac:dyDescent="0.25">
      <c r="A45" s="158"/>
      <c r="B45" s="111"/>
      <c r="C45" s="767"/>
      <c r="D45" s="767"/>
      <c r="E45" s="767"/>
      <c r="F45" s="767"/>
      <c r="G45" s="762"/>
      <c r="H45" s="111"/>
      <c r="I45" s="1258"/>
      <c r="J45" s="806">
        <f t="shared" si="2"/>
        <v>0</v>
      </c>
    </row>
    <row r="46" spans="1:10" x14ac:dyDescent="0.25">
      <c r="A46" s="158"/>
      <c r="B46" s="111"/>
      <c r="C46" s="767"/>
      <c r="D46" s="767"/>
      <c r="E46" s="767"/>
      <c r="F46" s="767"/>
      <c r="G46" s="762"/>
      <c r="H46" s="111"/>
      <c r="I46" s="1258"/>
      <c r="J46" s="806">
        <f t="shared" si="2"/>
        <v>0</v>
      </c>
    </row>
    <row r="47" spans="1:10" ht="15.6" thickBot="1" x14ac:dyDescent="0.3">
      <c r="A47" s="205"/>
      <c r="B47" s="145"/>
      <c r="C47" s="766"/>
      <c r="D47" s="766"/>
      <c r="E47" s="766"/>
      <c r="F47" s="766"/>
      <c r="G47" s="763"/>
      <c r="H47" s="112"/>
      <c r="I47" s="1277"/>
      <c r="J47" s="809">
        <f t="shared" si="2"/>
        <v>0</v>
      </c>
    </row>
    <row r="48" spans="1:10" x14ac:dyDescent="0.25">
      <c r="A48" s="209"/>
      <c r="B48" s="136"/>
      <c r="C48" s="136"/>
      <c r="D48" s="136"/>
      <c r="E48" s="136"/>
      <c r="F48" s="136"/>
      <c r="G48" s="136"/>
      <c r="H48" s="136"/>
      <c r="I48" s="1278" t="s">
        <v>645</v>
      </c>
      <c r="J48" s="930">
        <f>SUM(J38:J47)</f>
        <v>0</v>
      </c>
    </row>
    <row r="49" spans="1:10" ht="15.6" thickBot="1" x14ac:dyDescent="0.3">
      <c r="A49" s="121"/>
      <c r="B49" s="117"/>
      <c r="C49" s="117"/>
      <c r="D49" s="117"/>
      <c r="E49" s="117"/>
      <c r="F49" s="117"/>
      <c r="G49" s="117"/>
      <c r="H49" s="117"/>
      <c r="I49" s="907" t="s">
        <v>369</v>
      </c>
      <c r="J49" s="1173"/>
    </row>
    <row r="50" spans="1:10" ht="16.2" thickTop="1" thickBot="1" x14ac:dyDescent="0.3">
      <c r="A50" s="1178"/>
      <c r="B50" s="1168"/>
      <c r="C50" s="1168"/>
      <c r="D50" s="1168"/>
      <c r="E50" s="1168"/>
      <c r="F50" s="1168"/>
      <c r="G50" s="1168"/>
      <c r="H50" s="1168"/>
      <c r="I50" s="1179"/>
      <c r="J50" s="1180"/>
    </row>
    <row r="51" spans="1:10" ht="15.6" thickTop="1" x14ac:dyDescent="0.25">
      <c r="A51" s="160" t="s">
        <v>59</v>
      </c>
      <c r="B51" s="1174"/>
      <c r="C51" s="1175"/>
      <c r="D51" s="1175"/>
      <c r="E51" s="1175"/>
      <c r="F51" s="1175"/>
      <c r="G51" s="1175"/>
      <c r="H51" s="1175"/>
      <c r="I51" s="1176"/>
      <c r="J51" s="1177"/>
    </row>
    <row r="52" spans="1:10" ht="30" x14ac:dyDescent="0.25">
      <c r="A52" s="925" t="s">
        <v>362</v>
      </c>
      <c r="B52" s="673" t="s">
        <v>3</v>
      </c>
      <c r="C52" s="929" t="s">
        <v>9</v>
      </c>
      <c r="D52" s="109" t="s">
        <v>60</v>
      </c>
      <c r="E52" s="2115" t="s">
        <v>61</v>
      </c>
      <c r="F52" s="2116"/>
      <c r="G52" s="929" t="s">
        <v>10</v>
      </c>
      <c r="H52" s="929" t="s">
        <v>11</v>
      </c>
      <c r="I52" s="929" t="s">
        <v>409</v>
      </c>
      <c r="J52" s="935" t="s">
        <v>39</v>
      </c>
    </row>
    <row r="53" spans="1:10" x14ac:dyDescent="0.25">
      <c r="A53" s="157"/>
      <c r="B53" s="938"/>
      <c r="C53" s="110"/>
      <c r="D53" s="110"/>
      <c r="E53" s="2117"/>
      <c r="F53" s="2118"/>
      <c r="G53" s="110"/>
      <c r="H53" s="110"/>
      <c r="I53" s="1276"/>
      <c r="J53" s="803">
        <f t="shared" ref="J53:J62" si="3">D53*I53</f>
        <v>0</v>
      </c>
    </row>
    <row r="54" spans="1:10" x14ac:dyDescent="0.25">
      <c r="A54" s="158"/>
      <c r="B54" s="762"/>
      <c r="C54" s="111"/>
      <c r="D54" s="111"/>
      <c r="E54" s="2106"/>
      <c r="F54" s="2107"/>
      <c r="G54" s="111"/>
      <c r="H54" s="111"/>
      <c r="I54" s="1258"/>
      <c r="J54" s="806">
        <f t="shared" si="3"/>
        <v>0</v>
      </c>
    </row>
    <row r="55" spans="1:10" x14ac:dyDescent="0.25">
      <c r="A55" s="158"/>
      <c r="B55" s="762"/>
      <c r="C55" s="111"/>
      <c r="D55" s="111"/>
      <c r="E55" s="2106"/>
      <c r="F55" s="2107"/>
      <c r="G55" s="111"/>
      <c r="H55" s="111"/>
      <c r="I55" s="1258"/>
      <c r="J55" s="806">
        <f t="shared" si="3"/>
        <v>0</v>
      </c>
    </row>
    <row r="56" spans="1:10" x14ac:dyDescent="0.25">
      <c r="A56" s="158"/>
      <c r="B56" s="762"/>
      <c r="C56" s="111"/>
      <c r="D56" s="111"/>
      <c r="E56" s="2106"/>
      <c r="F56" s="2107"/>
      <c r="G56" s="111"/>
      <c r="H56" s="111"/>
      <c r="I56" s="1258"/>
      <c r="J56" s="806">
        <f t="shared" si="3"/>
        <v>0</v>
      </c>
    </row>
    <row r="57" spans="1:10" x14ac:dyDescent="0.25">
      <c r="A57" s="158"/>
      <c r="B57" s="762"/>
      <c r="C57" s="111"/>
      <c r="D57" s="111"/>
      <c r="E57" s="2106"/>
      <c r="F57" s="2107"/>
      <c r="G57" s="111"/>
      <c r="H57" s="111"/>
      <c r="I57" s="1258"/>
      <c r="J57" s="806">
        <f t="shared" si="3"/>
        <v>0</v>
      </c>
    </row>
    <row r="58" spans="1:10" x14ac:dyDescent="0.25">
      <c r="A58" s="158"/>
      <c r="B58" s="762"/>
      <c r="C58" s="111"/>
      <c r="D58" s="111"/>
      <c r="E58" s="2106"/>
      <c r="F58" s="2107"/>
      <c r="G58" s="111"/>
      <c r="H58" s="111"/>
      <c r="I58" s="1258"/>
      <c r="J58" s="806">
        <f t="shared" si="3"/>
        <v>0</v>
      </c>
    </row>
    <row r="59" spans="1:10" x14ac:dyDescent="0.25">
      <c r="A59" s="158"/>
      <c r="B59" s="762"/>
      <c r="C59" s="111"/>
      <c r="D59" s="111"/>
      <c r="E59" s="2106"/>
      <c r="F59" s="2107"/>
      <c r="G59" s="111"/>
      <c r="H59" s="111"/>
      <c r="I59" s="1258"/>
      <c r="J59" s="806">
        <f t="shared" si="3"/>
        <v>0</v>
      </c>
    </row>
    <row r="60" spans="1:10" x14ac:dyDescent="0.25">
      <c r="A60" s="158"/>
      <c r="B60" s="762"/>
      <c r="C60" s="111"/>
      <c r="D60" s="111"/>
      <c r="E60" s="2106"/>
      <c r="F60" s="2107"/>
      <c r="G60" s="111"/>
      <c r="H60" s="111"/>
      <c r="I60" s="1258"/>
      <c r="J60" s="806">
        <f t="shared" si="3"/>
        <v>0</v>
      </c>
    </row>
    <row r="61" spans="1:10" x14ac:dyDescent="0.25">
      <c r="A61" s="158"/>
      <c r="B61" s="762"/>
      <c r="C61" s="111"/>
      <c r="D61" s="111"/>
      <c r="E61" s="2106"/>
      <c r="F61" s="2107"/>
      <c r="G61" s="111"/>
      <c r="H61" s="111"/>
      <c r="I61" s="1258"/>
      <c r="J61" s="806">
        <f t="shared" si="3"/>
        <v>0</v>
      </c>
    </row>
    <row r="62" spans="1:10" ht="15.6" thickBot="1" x14ac:dyDescent="0.3">
      <c r="A62" s="159"/>
      <c r="B62" s="130"/>
      <c r="C62" s="112"/>
      <c r="D62" s="112"/>
      <c r="E62" s="2108"/>
      <c r="F62" s="2109"/>
      <c r="G62" s="112"/>
      <c r="H62" s="112"/>
      <c r="I62" s="1277"/>
      <c r="J62" s="809">
        <f t="shared" si="3"/>
        <v>0</v>
      </c>
    </row>
    <row r="63" spans="1:10" x14ac:dyDescent="0.25">
      <c r="A63" s="209"/>
      <c r="B63" s="136"/>
      <c r="C63" s="136"/>
      <c r="D63" s="136"/>
      <c r="E63" s="136"/>
      <c r="F63" s="136"/>
      <c r="G63" s="136"/>
      <c r="H63" s="136"/>
      <c r="I63" s="1278" t="s">
        <v>646</v>
      </c>
      <c r="J63" s="930">
        <f>SUM(J53:J62)</f>
        <v>0</v>
      </c>
    </row>
    <row r="64" spans="1:10" x14ac:dyDescent="0.25">
      <c r="A64" s="121"/>
      <c r="B64" s="117"/>
      <c r="C64" s="117"/>
      <c r="D64" s="117"/>
      <c r="E64" s="117"/>
      <c r="F64" s="117"/>
      <c r="G64" s="117"/>
      <c r="H64" s="117"/>
      <c r="I64" s="907" t="s">
        <v>369</v>
      </c>
      <c r="J64" s="931"/>
    </row>
    <row r="65" spans="1:10" ht="15.6" thickBot="1" x14ac:dyDescent="0.3">
      <c r="A65" s="2110"/>
      <c r="B65" s="2111"/>
      <c r="C65" s="2111"/>
      <c r="D65" s="2111"/>
      <c r="E65" s="2111"/>
      <c r="F65" s="2111"/>
      <c r="G65" s="2111"/>
      <c r="H65" s="2111"/>
      <c r="I65" s="2111"/>
      <c r="J65" s="940"/>
    </row>
    <row r="66" spans="1:10" ht="16.2" thickTop="1" thickBot="1" x14ac:dyDescent="0.3">
      <c r="A66" s="2103" t="s">
        <v>411</v>
      </c>
      <c r="B66" s="2104"/>
      <c r="C66" s="2104"/>
      <c r="D66" s="2104"/>
      <c r="E66" s="2104"/>
      <c r="F66" s="2104"/>
      <c r="G66" s="2104"/>
      <c r="H66" s="2104"/>
      <c r="I66" s="2105"/>
      <c r="J66" s="941">
        <f>J63+J48+J33+J18</f>
        <v>0</v>
      </c>
    </row>
    <row r="67" spans="1:10" ht="16.2" thickTop="1" thickBot="1" x14ac:dyDescent="0.3">
      <c r="A67" s="125"/>
      <c r="B67" s="122"/>
      <c r="C67" s="122"/>
      <c r="D67" s="122"/>
      <c r="E67" s="122"/>
      <c r="F67" s="122"/>
      <c r="G67" s="122"/>
      <c r="H67" s="122"/>
      <c r="I67" s="122" t="s">
        <v>369</v>
      </c>
      <c r="J67" s="942">
        <f>J64+J49+J34+J19</f>
        <v>0</v>
      </c>
    </row>
    <row r="68" spans="1:10" ht="15.6" thickTop="1" x14ac:dyDescent="0.25"/>
  </sheetData>
  <mergeCells count="15">
    <mergeCell ref="E57:F57"/>
    <mergeCell ref="E58:F58"/>
    <mergeCell ref="A3:C3"/>
    <mergeCell ref="E3:F3"/>
    <mergeCell ref="E52:F52"/>
    <mergeCell ref="E53:F53"/>
    <mergeCell ref="E54:F54"/>
    <mergeCell ref="E55:F55"/>
    <mergeCell ref="E56:F56"/>
    <mergeCell ref="A66:I66"/>
    <mergeCell ref="E59:F59"/>
    <mergeCell ref="E60:F60"/>
    <mergeCell ref="E61:F61"/>
    <mergeCell ref="E62:F62"/>
    <mergeCell ref="A65:I65"/>
  </mergeCells>
  <phoneticPr fontId="33" type="noConversion"/>
  <printOptions horizontalCentered="1"/>
  <pageMargins left="0.55118110236220474" right="0.55118110236220474" top="0.78740157480314965" bottom="0.78740157480314965" header="0.51181102362204722" footer="0.51181102362204722"/>
  <pageSetup paperSize="9" scale="73" orientation="portrait" horizontalDpi="300" verticalDpi="300" r:id="rId1"/>
  <headerFooter alignWithMargins="0">
    <oddFooter>&amp;L&amp;8&amp;F (Rev 1 of 310805)&amp;C&amp;8&amp;A&amp;R&amp;8PRINT DATE: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topLeftCell="A37" zoomScaleNormal="100" workbookViewId="0">
      <selection activeCell="L4" sqref="L4"/>
    </sheetView>
  </sheetViews>
  <sheetFormatPr defaultRowHeight="15" x14ac:dyDescent="0.25"/>
  <cols>
    <col min="1" max="1" width="3.4140625" customWidth="1"/>
    <col min="2" max="2" width="8.75" customWidth="1"/>
    <col min="3" max="3" width="15.25" customWidth="1"/>
    <col min="4" max="4" width="1.08203125" customWidth="1"/>
    <col min="5" max="5" width="4.25" customWidth="1"/>
    <col min="6" max="6" width="7.08203125" customWidth="1"/>
    <col min="7" max="7" width="4.9140625" customWidth="1"/>
    <col min="8" max="8" width="10.58203125" customWidth="1"/>
    <col min="9" max="9" width="1.58203125" customWidth="1"/>
    <col min="10" max="10" width="9.9140625" customWidth="1"/>
    <col min="11" max="11" width="2.4140625" customWidth="1"/>
    <col min="12" max="12" width="12.25" customWidth="1"/>
  </cols>
  <sheetData>
    <row r="1" spans="1:12" ht="15.6" thickTop="1" x14ac:dyDescent="0.25">
      <c r="A1" s="1016"/>
      <c r="B1" s="1017"/>
      <c r="C1" s="1017"/>
      <c r="D1" s="1017"/>
      <c r="E1" s="1017"/>
      <c r="F1" s="1017"/>
      <c r="G1" s="1017"/>
      <c r="H1" s="1017"/>
      <c r="I1" s="1017"/>
      <c r="J1" s="1017"/>
      <c r="K1" s="1017" t="s">
        <v>421</v>
      </c>
      <c r="L1" s="1018"/>
    </row>
    <row r="2" spans="1:12" ht="15.6" x14ac:dyDescent="0.3">
      <c r="A2" s="1019"/>
      <c r="B2" s="912"/>
      <c r="C2" s="912"/>
      <c r="D2" s="912"/>
      <c r="E2" s="912"/>
      <c r="F2" s="1020" t="s">
        <v>422</v>
      </c>
      <c r="G2" s="912"/>
      <c r="H2" s="912"/>
      <c r="I2" s="912"/>
      <c r="J2" s="912"/>
      <c r="K2" s="912"/>
      <c r="L2" s="1021"/>
    </row>
    <row r="3" spans="1:12" x14ac:dyDescent="0.25">
      <c r="A3" s="1019"/>
      <c r="B3" s="912"/>
      <c r="C3" s="912"/>
      <c r="D3" s="912"/>
      <c r="E3" s="912"/>
      <c r="F3" s="912"/>
      <c r="G3" s="912"/>
      <c r="H3" s="912"/>
      <c r="I3" s="912"/>
      <c r="J3" s="912"/>
      <c r="K3" s="912"/>
      <c r="L3" s="1022"/>
    </row>
    <row r="4" spans="1:12" x14ac:dyDescent="0.25">
      <c r="A4" s="1019"/>
      <c r="B4" s="912"/>
      <c r="C4" s="912"/>
      <c r="D4" s="912"/>
      <c r="E4" s="912"/>
      <c r="F4" s="1023" t="s">
        <v>423</v>
      </c>
      <c r="G4" s="1292">
        <f>'Input Data'!D29</f>
        <v>0</v>
      </c>
      <c r="H4" s="912"/>
      <c r="I4" s="912"/>
      <c r="J4" s="1024" t="s">
        <v>3</v>
      </c>
      <c r="K4" s="912" t="s">
        <v>424</v>
      </c>
      <c r="L4" s="1025">
        <f>'Input Data'!D28</f>
        <v>44172</v>
      </c>
    </row>
    <row r="5" spans="1:12" x14ac:dyDescent="0.25">
      <c r="A5" s="1019"/>
      <c r="B5" s="912"/>
      <c r="C5" s="912"/>
      <c r="D5" s="912"/>
      <c r="E5" s="912"/>
      <c r="F5" s="912"/>
      <c r="G5" s="912"/>
      <c r="H5" s="1043"/>
      <c r="I5" s="912"/>
      <c r="J5" s="1103"/>
      <c r="K5" s="912"/>
      <c r="L5" s="1027"/>
    </row>
    <row r="6" spans="1:12" x14ac:dyDescent="0.25">
      <c r="A6" s="1019"/>
      <c r="B6" s="1028" t="s">
        <v>425</v>
      </c>
      <c r="C6" s="912"/>
      <c r="D6" s="1028" t="s">
        <v>424</v>
      </c>
      <c r="E6" s="1029">
        <f>'Input Data'!D12</f>
        <v>0</v>
      </c>
      <c r="F6" s="1030"/>
      <c r="G6" s="1030"/>
      <c r="H6" s="1030"/>
      <c r="I6" s="1030"/>
      <c r="J6" s="1030"/>
      <c r="K6" s="1030"/>
      <c r="L6" s="1031"/>
    </row>
    <row r="7" spans="1:12" x14ac:dyDescent="0.25">
      <c r="A7" s="1019"/>
      <c r="B7" s="1028"/>
      <c r="C7" s="912"/>
      <c r="D7" s="1028"/>
      <c r="E7" s="1032"/>
      <c r="F7" s="1032"/>
      <c r="G7" s="1032"/>
      <c r="H7" s="1032"/>
      <c r="I7" s="1032"/>
      <c r="J7" s="1032"/>
      <c r="K7" s="1032"/>
      <c r="L7" s="1033"/>
    </row>
    <row r="8" spans="1:12" x14ac:dyDescent="0.25">
      <c r="A8" s="1019"/>
      <c r="B8" s="1028"/>
      <c r="C8" s="912"/>
      <c r="D8" s="1028"/>
      <c r="E8" s="1034"/>
      <c r="F8" s="1035"/>
      <c r="G8" s="1035"/>
      <c r="H8" s="1035"/>
      <c r="I8" s="1035"/>
      <c r="J8" s="1035"/>
      <c r="K8" s="1035"/>
      <c r="L8" s="1036"/>
    </row>
    <row r="9" spans="1:12" x14ac:dyDescent="0.25">
      <c r="A9" s="1019"/>
      <c r="B9" s="912"/>
      <c r="C9" s="912"/>
      <c r="D9" s="912"/>
      <c r="E9" s="1037" t="s">
        <v>426</v>
      </c>
      <c r="F9" s="1291">
        <f>'Input Data'!D7</f>
        <v>0</v>
      </c>
      <c r="G9" s="1038"/>
      <c r="H9" s="1026"/>
      <c r="I9" s="1038"/>
      <c r="J9" s="1026"/>
      <c r="K9" s="1038"/>
      <c r="L9" s="1027"/>
    </row>
    <row r="10" spans="1:12" x14ac:dyDescent="0.25">
      <c r="A10" s="1019"/>
      <c r="B10" s="912"/>
      <c r="C10" s="1029"/>
      <c r="D10" s="912"/>
      <c r="E10" s="1039"/>
      <c r="F10" s="1040"/>
      <c r="G10" s="1040"/>
      <c r="H10" s="1040"/>
      <c r="I10" s="1040"/>
      <c r="J10" s="1040"/>
      <c r="K10" s="1041"/>
      <c r="L10" s="1042"/>
    </row>
    <row r="11" spans="1:12" x14ac:dyDescent="0.25">
      <c r="A11" s="1019"/>
      <c r="B11" s="1028" t="s">
        <v>427</v>
      </c>
      <c r="C11" s="912"/>
      <c r="D11" s="1028" t="s">
        <v>424</v>
      </c>
      <c r="E11" s="1104">
        <f>'Input Data'!D13</f>
        <v>0</v>
      </c>
      <c r="G11" s="1044"/>
      <c r="H11" s="1044"/>
      <c r="I11" s="1044"/>
      <c r="J11" s="1044"/>
      <c r="K11" s="1044"/>
      <c r="L11" s="1045"/>
    </row>
    <row r="12" spans="1:12" x14ac:dyDescent="0.25">
      <c r="A12" s="1019"/>
      <c r="B12" s="1028" t="s">
        <v>428</v>
      </c>
      <c r="C12" s="912"/>
      <c r="D12" s="912"/>
      <c r="E12" s="1105">
        <f>'Input Data'!D14</f>
        <v>0</v>
      </c>
      <c r="G12" s="1046"/>
      <c r="H12" s="1046"/>
      <c r="I12" s="1046"/>
      <c r="K12" s="912" t="s">
        <v>429</v>
      </c>
      <c r="L12" s="1110">
        <f>'Input Data'!H14</f>
        <v>0</v>
      </c>
    </row>
    <row r="13" spans="1:12" x14ac:dyDescent="0.25">
      <c r="A13" s="1019"/>
      <c r="B13" s="1028" t="s">
        <v>430</v>
      </c>
      <c r="C13" s="912"/>
      <c r="D13" s="1028" t="s">
        <v>424</v>
      </c>
      <c r="E13" s="1106">
        <f>'Input Data'!D6</f>
        <v>0</v>
      </c>
      <c r="G13" s="912"/>
      <c r="H13" s="1023" t="s">
        <v>431</v>
      </c>
      <c r="I13" s="1047" t="s">
        <v>424</v>
      </c>
      <c r="J13" s="1106">
        <f>'Input Data'!D30</f>
        <v>0</v>
      </c>
      <c r="L13" s="1022"/>
    </row>
    <row r="14" spans="1:12" x14ac:dyDescent="0.25">
      <c r="A14" s="1019"/>
      <c r="B14" s="912"/>
      <c r="C14" s="912"/>
      <c r="D14" s="912"/>
      <c r="E14" s="912"/>
      <c r="F14" s="912"/>
      <c r="G14" s="912"/>
      <c r="H14" s="912"/>
      <c r="I14" s="912"/>
      <c r="J14" s="912"/>
      <c r="K14" s="912"/>
      <c r="L14" s="1022"/>
    </row>
    <row r="15" spans="1:12" x14ac:dyDescent="0.25">
      <c r="A15" s="1019"/>
      <c r="B15" s="1028" t="s">
        <v>432</v>
      </c>
      <c r="C15" s="912"/>
      <c r="D15" s="1028" t="s">
        <v>424</v>
      </c>
      <c r="E15" s="1106">
        <f>'Input Data'!D18</f>
        <v>0</v>
      </c>
      <c r="G15" s="912"/>
      <c r="H15" s="1023" t="s">
        <v>433</v>
      </c>
      <c r="I15" s="1047" t="s">
        <v>424</v>
      </c>
      <c r="J15" s="1107">
        <f>'Input Data'!D31</f>
        <v>0</v>
      </c>
      <c r="L15" s="1022"/>
    </row>
    <row r="16" spans="1:12" x14ac:dyDescent="0.25">
      <c r="A16" s="1019"/>
      <c r="B16" s="1028"/>
      <c r="C16" s="912"/>
      <c r="D16" s="1028"/>
      <c r="E16" s="1028"/>
      <c r="F16" s="912"/>
      <c r="G16" s="912"/>
      <c r="H16" s="1028"/>
      <c r="I16" s="1028"/>
      <c r="J16" s="1028"/>
      <c r="K16" s="912"/>
      <c r="L16" s="1048"/>
    </row>
    <row r="17" spans="1:12" ht="15.6" x14ac:dyDescent="0.3">
      <c r="A17" s="1049"/>
      <c r="B17" s="1028" t="s">
        <v>434</v>
      </c>
      <c r="C17" s="912"/>
      <c r="D17" s="912"/>
      <c r="E17" s="912"/>
      <c r="F17" s="912"/>
      <c r="G17" s="912"/>
      <c r="H17" s="912"/>
      <c r="I17" s="912"/>
      <c r="J17" s="912"/>
      <c r="K17" s="912"/>
      <c r="L17" s="1050" t="s">
        <v>435</v>
      </c>
    </row>
    <row r="18" spans="1:12" x14ac:dyDescent="0.25">
      <c r="A18" s="2130" t="s">
        <v>436</v>
      </c>
      <c r="B18" s="912"/>
      <c r="C18" s="912"/>
      <c r="D18" s="912"/>
      <c r="E18" s="912"/>
      <c r="F18" s="1051"/>
      <c r="G18" s="912"/>
      <c r="H18" s="912"/>
      <c r="I18" s="912"/>
      <c r="J18" s="912"/>
      <c r="K18" s="912"/>
      <c r="L18" s="1052"/>
    </row>
    <row r="19" spans="1:12" x14ac:dyDescent="0.25">
      <c r="A19" s="2131"/>
      <c r="B19" s="1028" t="s">
        <v>437</v>
      </c>
      <c r="C19" s="912"/>
      <c r="D19" s="1028" t="s">
        <v>424</v>
      </c>
      <c r="E19" s="1051" t="s">
        <v>438</v>
      </c>
      <c r="F19" s="1051"/>
      <c r="G19" s="912"/>
      <c r="H19" s="912" t="s">
        <v>439</v>
      </c>
      <c r="I19" s="912"/>
      <c r="J19" s="912"/>
      <c r="K19" s="912"/>
      <c r="L19" s="1053">
        <f>IF('Input Data'!E10="E",'Invoice Engineering Project'!O56-'Invoice Engineering Project'!B91,'Invoice Multidiscipl Project '!O45-'Invoice Multidiscipl Project '!B80)</f>
        <v>0</v>
      </c>
    </row>
    <row r="20" spans="1:12" x14ac:dyDescent="0.25">
      <c r="A20" s="2131"/>
      <c r="B20" s="912"/>
      <c r="C20" s="912"/>
      <c r="D20" s="912"/>
      <c r="E20" s="912"/>
      <c r="F20" s="912"/>
      <c r="G20" s="912"/>
      <c r="H20" s="1054" t="s">
        <v>440</v>
      </c>
      <c r="I20" s="912"/>
      <c r="J20" s="1054"/>
      <c r="K20" s="912"/>
      <c r="L20" s="1191">
        <f>-'Input Data'!F11*'Input Data'!H11</f>
        <v>0</v>
      </c>
    </row>
    <row r="21" spans="1:12" x14ac:dyDescent="0.25">
      <c r="A21" s="2132"/>
      <c r="B21" s="912"/>
      <c r="C21" s="912"/>
      <c r="D21" s="912"/>
      <c r="E21" s="912"/>
      <c r="F21" s="912"/>
      <c r="G21" s="912"/>
      <c r="H21" s="2085" t="s">
        <v>441</v>
      </c>
      <c r="I21" s="912"/>
      <c r="J21" s="2085" t="s">
        <v>442</v>
      </c>
      <c r="K21" s="912"/>
      <c r="L21" s="1055"/>
    </row>
    <row r="22" spans="1:12" x14ac:dyDescent="0.25">
      <c r="A22" s="1056" t="s">
        <v>443</v>
      </c>
      <c r="B22" s="1028" t="s">
        <v>444</v>
      </c>
      <c r="C22" s="912"/>
      <c r="D22" s="1028" t="s">
        <v>424</v>
      </c>
      <c r="E22" s="1051"/>
      <c r="F22" s="912"/>
      <c r="G22" s="912"/>
      <c r="H22" s="2129"/>
      <c r="I22" s="912"/>
      <c r="J22" s="2129"/>
      <c r="K22" s="912"/>
      <c r="L22" s="1053"/>
    </row>
    <row r="23" spans="1:12" x14ac:dyDescent="0.25">
      <c r="A23" s="1057"/>
      <c r="B23" s="1028"/>
      <c r="C23" s="1026" t="s">
        <v>445</v>
      </c>
      <c r="D23" s="1026"/>
      <c r="E23" s="1026"/>
      <c r="F23" s="1026"/>
      <c r="G23" s="1026"/>
      <c r="H23" s="1058">
        <f>'Time Based'!I22</f>
        <v>0</v>
      </c>
      <c r="I23" s="1026"/>
      <c r="J23" s="1058">
        <f>H23-'Time Based'!I23</f>
        <v>0</v>
      </c>
      <c r="K23" s="912"/>
      <c r="L23" s="1059"/>
    </row>
    <row r="24" spans="1:12" x14ac:dyDescent="0.25">
      <c r="A24" s="1057"/>
      <c r="B24" s="1028"/>
      <c r="C24" s="912" t="s">
        <v>446</v>
      </c>
      <c r="D24" s="1028"/>
      <c r="E24" s="912"/>
      <c r="F24" s="912"/>
      <c r="G24" s="912"/>
      <c r="H24" s="1060">
        <f>'Time Based'!I37</f>
        <v>0</v>
      </c>
      <c r="I24" s="912"/>
      <c r="J24" s="1060">
        <f>H24-'Time Based'!I38</f>
        <v>0</v>
      </c>
      <c r="K24" s="912"/>
      <c r="L24" s="1059"/>
    </row>
    <row r="25" spans="1:12" x14ac:dyDescent="0.25">
      <c r="A25" s="1057"/>
      <c r="B25" s="912"/>
      <c r="C25" s="912" t="s">
        <v>447</v>
      </c>
      <c r="D25" s="1028"/>
      <c r="E25" s="912"/>
      <c r="F25" s="912"/>
      <c r="G25" s="912"/>
      <c r="H25" s="1061">
        <v>0</v>
      </c>
      <c r="I25" s="912"/>
      <c r="J25" s="1061">
        <f>H25-'Time Based'!I57</f>
        <v>0</v>
      </c>
      <c r="K25" s="912"/>
      <c r="L25" s="1055"/>
    </row>
    <row r="26" spans="1:12" x14ac:dyDescent="0.25">
      <c r="A26" s="1057"/>
      <c r="B26" s="912"/>
      <c r="C26" s="912" t="s">
        <v>448</v>
      </c>
      <c r="D26" s="1051"/>
      <c r="E26" s="912"/>
      <c r="F26" s="912"/>
      <c r="G26" s="912"/>
      <c r="H26" s="1061">
        <f>'Time Based'!I75</f>
        <v>0</v>
      </c>
      <c r="I26" s="912"/>
      <c r="J26" s="1061">
        <f>H26-'Time Based'!I76</f>
        <v>0</v>
      </c>
      <c r="K26" s="912"/>
      <c r="L26" s="1055"/>
    </row>
    <row r="27" spans="1:12" x14ac:dyDescent="0.25">
      <c r="A27" s="1057"/>
      <c r="C27" s="1051"/>
      <c r="H27" s="1061"/>
      <c r="I27" s="912"/>
      <c r="J27" s="1061"/>
      <c r="K27" s="912"/>
      <c r="L27" s="1059"/>
    </row>
    <row r="28" spans="1:12" ht="15.6" thickBot="1" x14ac:dyDescent="0.3">
      <c r="A28" s="1057"/>
      <c r="B28" s="1028" t="s">
        <v>449</v>
      </c>
      <c r="C28" s="912" t="s">
        <v>450</v>
      </c>
      <c r="D28" s="912"/>
      <c r="E28" s="912"/>
      <c r="F28" s="912"/>
      <c r="G28" s="912"/>
      <c r="H28" s="1062">
        <v>0</v>
      </c>
      <c r="I28" s="912"/>
      <c r="J28" s="1063">
        <f>H28</f>
        <v>0</v>
      </c>
      <c r="K28" s="912"/>
      <c r="L28" s="1055"/>
    </row>
    <row r="29" spans="1:12" ht="15.6" thickBot="1" x14ac:dyDescent="0.3">
      <c r="A29" s="1057"/>
      <c r="B29" s="912"/>
      <c r="C29" s="912"/>
      <c r="D29" s="1028"/>
      <c r="E29" s="912"/>
      <c r="F29" s="912"/>
      <c r="G29" s="1064" t="s">
        <v>451</v>
      </c>
      <c r="H29" s="1065">
        <f>SUM(H23:H28)</f>
        <v>0</v>
      </c>
      <c r="I29" s="912"/>
      <c r="J29" s="1066">
        <f>SUM(J24:J28)</f>
        <v>0</v>
      </c>
      <c r="K29" s="912"/>
      <c r="L29" s="1053">
        <f>J29</f>
        <v>0</v>
      </c>
    </row>
    <row r="30" spans="1:12" x14ac:dyDescent="0.25">
      <c r="A30" s="1057"/>
      <c r="B30" s="912"/>
      <c r="C30" s="912"/>
      <c r="D30" s="912"/>
      <c r="E30" s="912"/>
      <c r="F30" s="912"/>
      <c r="G30" s="912"/>
      <c r="H30" s="912"/>
      <c r="I30" s="912"/>
      <c r="J30" s="1067"/>
      <c r="K30" s="912"/>
      <c r="L30" s="1055"/>
    </row>
    <row r="31" spans="1:12" x14ac:dyDescent="0.25">
      <c r="A31" s="1057"/>
      <c r="B31" s="912"/>
      <c r="C31" s="912"/>
      <c r="D31" s="912"/>
      <c r="E31" s="912"/>
      <c r="F31" s="912"/>
      <c r="G31" s="912"/>
      <c r="H31" s="2126" t="s">
        <v>452</v>
      </c>
      <c r="I31" s="2127"/>
      <c r="J31" s="2128"/>
      <c r="K31" s="912"/>
      <c r="L31" s="1055"/>
    </row>
    <row r="32" spans="1:12" x14ac:dyDescent="0.25">
      <c r="A32" s="1057"/>
      <c r="B32" s="1028" t="s">
        <v>453</v>
      </c>
      <c r="C32" s="912"/>
      <c r="D32" s="912"/>
      <c r="E32" s="912"/>
      <c r="F32" s="912"/>
      <c r="G32" s="912"/>
      <c r="H32" s="2085" t="s">
        <v>441</v>
      </c>
      <c r="I32" s="1068"/>
      <c r="J32" s="2085" t="s">
        <v>442</v>
      </c>
      <c r="K32" s="912"/>
      <c r="L32" s="1055"/>
    </row>
    <row r="33" spans="1:12" x14ac:dyDescent="0.25">
      <c r="A33" s="1057"/>
      <c r="B33" s="912"/>
      <c r="C33" s="912"/>
      <c r="D33" s="912"/>
      <c r="E33" s="912"/>
      <c r="F33" s="912"/>
      <c r="G33" s="912"/>
      <c r="H33" s="2129"/>
      <c r="I33" s="1069"/>
      <c r="J33" s="2129"/>
      <c r="K33" s="912"/>
      <c r="L33" s="1055"/>
    </row>
    <row r="34" spans="1:12" x14ac:dyDescent="0.25">
      <c r="A34" s="1056" t="s">
        <v>454</v>
      </c>
      <c r="B34" s="1028" t="s">
        <v>455</v>
      </c>
      <c r="C34" s="912"/>
      <c r="D34" s="1028" t="s">
        <v>424</v>
      </c>
      <c r="E34" s="1070"/>
      <c r="F34" s="1071"/>
      <c r="G34" s="1072"/>
      <c r="H34" s="1060">
        <f>'Subsistance &amp; Travelling'!O86</f>
        <v>0</v>
      </c>
      <c r="I34" s="1073"/>
      <c r="J34" s="1060">
        <f>H34-'Subsistance &amp; Travelling'!O87</f>
        <v>0</v>
      </c>
      <c r="K34" s="912"/>
      <c r="L34" s="1055"/>
    </row>
    <row r="35" spans="1:12" x14ac:dyDescent="0.25">
      <c r="A35" s="1056"/>
      <c r="B35" s="1028" t="s">
        <v>224</v>
      </c>
      <c r="C35" s="1051"/>
      <c r="D35" s="1074"/>
      <c r="E35" s="1051"/>
      <c r="F35" s="2119"/>
      <c r="G35" s="2120"/>
      <c r="H35" s="1062"/>
      <c r="I35" s="1073"/>
      <c r="J35" s="1062"/>
      <c r="K35" s="912"/>
      <c r="L35" s="1055"/>
    </row>
    <row r="36" spans="1:12" x14ac:dyDescent="0.25">
      <c r="A36" s="1056" t="s">
        <v>456</v>
      </c>
      <c r="B36" s="1028" t="s">
        <v>457</v>
      </c>
      <c r="C36" s="1051"/>
      <c r="D36" s="1074"/>
      <c r="E36" s="1051"/>
      <c r="F36" s="2119"/>
      <c r="G36" s="2120"/>
      <c r="H36" s="1060">
        <f>'Typing, Duplicating, &amp; Printing'!J66</f>
        <v>0</v>
      </c>
      <c r="I36" s="1073"/>
      <c r="J36" s="1060">
        <f>H36-'Typing, Duplicating, &amp; Printing'!J67</f>
        <v>0</v>
      </c>
      <c r="K36" s="912"/>
      <c r="L36" s="1055"/>
    </row>
    <row r="37" spans="1:12" ht="15.6" thickBot="1" x14ac:dyDescent="0.3">
      <c r="A37" s="1056"/>
      <c r="B37" s="912"/>
      <c r="C37" s="1051"/>
      <c r="D37" s="1051"/>
      <c r="E37" s="1051"/>
      <c r="F37" s="1051"/>
      <c r="G37" s="1051"/>
      <c r="H37" s="1062"/>
      <c r="I37" s="1073"/>
      <c r="J37" s="1062"/>
      <c r="K37" s="912"/>
      <c r="L37" s="1055"/>
    </row>
    <row r="38" spans="1:12" ht="15.6" thickBot="1" x14ac:dyDescent="0.3">
      <c r="A38" s="1057"/>
      <c r="B38" s="912"/>
      <c r="C38" s="2125" t="s">
        <v>458</v>
      </c>
      <c r="D38" s="2125"/>
      <c r="E38" s="2125"/>
      <c r="F38" s="2125"/>
      <c r="G38" s="2125"/>
      <c r="H38" s="1065">
        <f>SUM(H34:H37)</f>
        <v>0</v>
      </c>
      <c r="I38" s="912"/>
      <c r="J38" s="1075">
        <f>SUM(J34:J37)</f>
        <v>0</v>
      </c>
      <c r="K38" s="912"/>
      <c r="L38" s="1053">
        <f>J38</f>
        <v>0</v>
      </c>
    </row>
    <row r="39" spans="1:12" x14ac:dyDescent="0.25">
      <c r="A39" s="1076"/>
      <c r="B39" s="912"/>
      <c r="C39" s="1051"/>
      <c r="D39" s="1051"/>
      <c r="E39" s="1051"/>
      <c r="F39" s="1051"/>
      <c r="G39" s="1051"/>
      <c r="H39" s="912"/>
      <c r="I39" s="912"/>
      <c r="J39" s="1077"/>
      <c r="K39" s="912"/>
      <c r="L39" s="1055"/>
    </row>
    <row r="40" spans="1:12" x14ac:dyDescent="0.25">
      <c r="A40" s="1076"/>
      <c r="B40" s="1028" t="s">
        <v>459</v>
      </c>
      <c r="C40" s="1051"/>
      <c r="D40" s="1051"/>
      <c r="E40" s="1051"/>
      <c r="F40" s="1051"/>
      <c r="G40" s="1051"/>
      <c r="H40" s="2126" t="s">
        <v>460</v>
      </c>
      <c r="I40" s="2127"/>
      <c r="J40" s="2128"/>
      <c r="K40" s="912"/>
      <c r="L40" s="1055"/>
    </row>
    <row r="41" spans="1:12" x14ac:dyDescent="0.25">
      <c r="A41" s="1076"/>
      <c r="B41" s="912"/>
      <c r="C41" s="1051"/>
      <c r="D41" s="1051"/>
      <c r="E41" s="1051"/>
      <c r="F41" s="1051"/>
      <c r="G41" s="1051"/>
      <c r="H41" s="2085" t="s">
        <v>441</v>
      </c>
      <c r="I41" s="1068"/>
      <c r="J41" s="2085" t="s">
        <v>442</v>
      </c>
      <c r="K41" s="912"/>
      <c r="L41" s="1055"/>
    </row>
    <row r="42" spans="1:12" x14ac:dyDescent="0.25">
      <c r="A42" s="1076"/>
      <c r="B42" s="912"/>
      <c r="C42" s="1051"/>
      <c r="D42" s="1051"/>
      <c r="E42" s="1051"/>
      <c r="F42" s="1051"/>
      <c r="G42" s="1051"/>
      <c r="H42" s="2129"/>
      <c r="I42" s="1069"/>
      <c r="J42" s="2129"/>
      <c r="K42" s="912"/>
      <c r="L42" s="1055"/>
    </row>
    <row r="43" spans="1:12" x14ac:dyDescent="0.25">
      <c r="A43" s="1056" t="s">
        <v>461</v>
      </c>
      <c r="B43" s="1028" t="s">
        <v>462</v>
      </c>
      <c r="C43" s="1051"/>
      <c r="D43" s="1074"/>
      <c r="E43" s="1051"/>
      <c r="F43" s="2119"/>
      <c r="G43" s="2120"/>
      <c r="H43" s="1078">
        <f>'Site staff &amp; Other'!I48</f>
        <v>0</v>
      </c>
      <c r="I43" s="912"/>
      <c r="J43" s="1078">
        <f>H43-'Site staff &amp; Other'!I49</f>
        <v>0</v>
      </c>
      <c r="K43" s="912"/>
      <c r="L43" s="1055"/>
    </row>
    <row r="44" spans="1:12" x14ac:dyDescent="0.25">
      <c r="A44" s="1056"/>
      <c r="B44" s="912"/>
      <c r="C44" s="1051"/>
      <c r="D44" s="1051"/>
      <c r="E44" s="1051"/>
      <c r="F44" s="1051"/>
      <c r="G44" s="1079"/>
      <c r="H44" s="1062"/>
      <c r="I44" s="912"/>
      <c r="J44" s="1062"/>
      <c r="K44" s="912"/>
      <c r="L44" s="1055"/>
    </row>
    <row r="45" spans="1:12" x14ac:dyDescent="0.25">
      <c r="A45" s="1056" t="s">
        <v>461</v>
      </c>
      <c r="B45" s="1028" t="s">
        <v>463</v>
      </c>
      <c r="C45" s="1051"/>
      <c r="D45" s="1074"/>
      <c r="E45" s="1051"/>
      <c r="F45" s="1071"/>
      <c r="G45" s="1072"/>
      <c r="H45" s="1060">
        <f>'Site staff &amp; Other'!I63</f>
        <v>0</v>
      </c>
      <c r="I45" s="912"/>
      <c r="J45" s="1060">
        <f>H45-'Site staff &amp; Other'!I64</f>
        <v>0</v>
      </c>
      <c r="K45" s="912"/>
      <c r="L45" s="1055"/>
    </row>
    <row r="46" spans="1:12" ht="15.6" thickBot="1" x14ac:dyDescent="0.3">
      <c r="A46" s="1056"/>
      <c r="B46" s="912"/>
      <c r="C46" s="1051"/>
      <c r="D46" s="1051"/>
      <c r="E46" s="1051"/>
      <c r="F46" s="1051"/>
      <c r="G46" s="1079"/>
      <c r="H46" s="1062"/>
      <c r="I46" s="912"/>
      <c r="J46" s="1062"/>
      <c r="K46" s="912"/>
      <c r="L46" s="1055"/>
    </row>
    <row r="47" spans="1:12" ht="15.6" thickBot="1" x14ac:dyDescent="0.3">
      <c r="A47" s="1076"/>
      <c r="B47" s="2121" t="s">
        <v>464</v>
      </c>
      <c r="C47" s="2122"/>
      <c r="D47" s="2122"/>
      <c r="E47" s="2122"/>
      <c r="F47" s="2122"/>
      <c r="G47" s="2122"/>
      <c r="H47" s="1080">
        <f>SUM(H43:H46)</f>
        <v>0</v>
      </c>
      <c r="I47" s="912"/>
      <c r="J47" s="1075">
        <f>SUM(J43:J46)</f>
        <v>0</v>
      </c>
      <c r="K47" s="912"/>
      <c r="L47" s="1053">
        <f>J47</f>
        <v>0</v>
      </c>
    </row>
    <row r="48" spans="1:12" x14ac:dyDescent="0.25">
      <c r="A48" s="1076"/>
      <c r="B48" s="912"/>
      <c r="C48" s="912"/>
      <c r="D48" s="912"/>
      <c r="E48" s="912"/>
      <c r="F48" s="912"/>
      <c r="G48" s="912"/>
      <c r="H48" s="1081"/>
      <c r="I48" s="912"/>
      <c r="J48" s="912"/>
      <c r="K48" s="912"/>
      <c r="L48" s="1055"/>
    </row>
    <row r="49" spans="1:12" ht="15.6" thickBot="1" x14ac:dyDescent="0.3">
      <c r="A49" s="1056" t="s">
        <v>465</v>
      </c>
      <c r="B49" s="1082" t="s">
        <v>224</v>
      </c>
      <c r="C49" s="1083"/>
      <c r="D49" s="1083"/>
      <c r="E49" s="1083"/>
      <c r="F49" s="260"/>
      <c r="G49" s="1024" t="s">
        <v>466</v>
      </c>
      <c r="H49" s="1084">
        <f>'Non Taxable'!J18</f>
        <v>0</v>
      </c>
      <c r="I49" s="1026"/>
      <c r="J49" s="1085">
        <f>H49-'Non Taxable'!J19</f>
        <v>0</v>
      </c>
      <c r="K49" s="912"/>
      <c r="L49" s="1086">
        <f>J49</f>
        <v>0</v>
      </c>
    </row>
    <row r="50" spans="1:12" ht="15.6" thickBot="1" x14ac:dyDescent="0.3">
      <c r="A50" s="1076"/>
      <c r="B50" s="1083"/>
      <c r="C50" s="1087"/>
      <c r="D50" s="1023"/>
      <c r="E50" s="1023"/>
      <c r="F50" s="260"/>
      <c r="G50" s="1023" t="s">
        <v>467</v>
      </c>
      <c r="H50" s="1088">
        <f>SUM(H23:H28)+SUM(H34:H36)+SUM(H43:H45)+H49</f>
        <v>0</v>
      </c>
      <c r="I50" s="1026"/>
      <c r="J50" s="1088">
        <f>SUM(J23:J28)+SUM(J34:J36)+SUM(J43:J45)+J49</f>
        <v>0</v>
      </c>
      <c r="K50" s="912"/>
      <c r="L50" s="1055"/>
    </row>
    <row r="51" spans="1:12" x14ac:dyDescent="0.25">
      <c r="A51" s="1076"/>
      <c r="B51" s="1087"/>
      <c r="C51" s="1087"/>
      <c r="D51" s="1087"/>
      <c r="E51" s="912"/>
      <c r="F51" s="912"/>
      <c r="G51" s="912"/>
      <c r="H51" s="912"/>
      <c r="I51" s="912"/>
      <c r="J51" s="912"/>
      <c r="K51" s="912"/>
      <c r="L51" s="1059"/>
    </row>
    <row r="52" spans="1:12" x14ac:dyDescent="0.25">
      <c r="A52" s="1076"/>
      <c r="B52" s="1089"/>
      <c r="C52" s="1089"/>
      <c r="D52" s="1089"/>
      <c r="E52" s="1090"/>
      <c r="F52" s="1091"/>
      <c r="G52" s="1091"/>
      <c r="H52" s="1091"/>
      <c r="I52" s="1091"/>
      <c r="J52" s="1091"/>
      <c r="K52" s="1091"/>
      <c r="L52" s="1052"/>
    </row>
    <row r="53" spans="1:12" x14ac:dyDescent="0.25">
      <c r="A53" s="1076"/>
      <c r="B53" s="1051"/>
      <c r="C53" s="1051"/>
      <c r="D53" s="1051"/>
      <c r="E53" s="1092" t="s">
        <v>468</v>
      </c>
      <c r="F53" s="912"/>
      <c r="G53" s="912"/>
      <c r="H53" s="912"/>
      <c r="I53" s="912"/>
      <c r="J53" s="912"/>
      <c r="K53" s="912"/>
      <c r="L53" s="1093">
        <f>SUM(L18:L47)</f>
        <v>0</v>
      </c>
    </row>
    <row r="54" spans="1:12" x14ac:dyDescent="0.25">
      <c r="A54" s="1076"/>
      <c r="B54" s="1051"/>
      <c r="C54" s="1051"/>
      <c r="D54" s="1051"/>
      <c r="E54" s="1092" t="s">
        <v>469</v>
      </c>
      <c r="F54" s="1094">
        <f>IF(L4&lt;43191,14%,15%)</f>
        <v>0.15</v>
      </c>
      <c r="G54" s="912" t="s">
        <v>470</v>
      </c>
      <c r="H54" s="1095">
        <f>L53</f>
        <v>0</v>
      </c>
      <c r="I54" s="912"/>
      <c r="J54" s="912"/>
      <c r="K54" s="912"/>
      <c r="L54" s="1059">
        <f>F54*L53</f>
        <v>0</v>
      </c>
    </row>
    <row r="55" spans="1:12" ht="15.6" thickBot="1" x14ac:dyDescent="0.3">
      <c r="A55" s="1076"/>
      <c r="B55" s="1051"/>
      <c r="C55" s="1051"/>
      <c r="D55" s="1051"/>
      <c r="E55" s="1073" t="s">
        <v>471</v>
      </c>
      <c r="F55" s="912"/>
      <c r="G55" s="912"/>
      <c r="H55" s="912"/>
      <c r="I55" s="912"/>
      <c r="J55" s="912"/>
      <c r="K55" s="912"/>
      <c r="L55" s="1096">
        <f>L49</f>
        <v>0</v>
      </c>
    </row>
    <row r="56" spans="1:12" ht="15.6" thickBot="1" x14ac:dyDescent="0.3">
      <c r="A56" s="1076"/>
      <c r="B56" s="1097"/>
      <c r="C56" s="1097"/>
      <c r="D56" s="1097"/>
      <c r="E56" s="2123" t="s">
        <v>472</v>
      </c>
      <c r="F56" s="2124"/>
      <c r="G56" s="2124"/>
      <c r="H56" s="2124"/>
      <c r="I56" s="1054"/>
      <c r="J56" s="1054"/>
      <c r="K56" s="1054"/>
      <c r="L56" s="1098">
        <f>L53+L54+L55</f>
        <v>0</v>
      </c>
    </row>
    <row r="57" spans="1:12" ht="15.6" thickBot="1" x14ac:dyDescent="0.3">
      <c r="A57" s="1099"/>
      <c r="B57" s="1100" t="s">
        <v>473</v>
      </c>
      <c r="C57" s="1101"/>
      <c r="D57" s="1101"/>
      <c r="E57" s="1101"/>
      <c r="F57" s="1101"/>
      <c r="G57" s="1101"/>
      <c r="H57" s="1101"/>
      <c r="I57" s="1101"/>
      <c r="J57" s="1101"/>
      <c r="K57" s="1101"/>
      <c r="L57" s="1102"/>
    </row>
    <row r="58" spans="1:12" ht="15.6" thickTop="1" x14ac:dyDescent="0.25"/>
  </sheetData>
  <sheetProtection algorithmName="SHA-512" hashValue="DMmHGEoK2vurOVhlIkVhmdp0Vz7r2/LTfdBil43bqxkpOpHmliNThkZtU8Uis/P/hdfmmUTYmvjbwWG0lDb4Fg==" saltValue="nc2HfZ2nLfTXpJxcN4cKkQ==" spinCount="100000" sheet="1" objects="1" scenarios="1"/>
  <mergeCells count="15">
    <mergeCell ref="A18:A21"/>
    <mergeCell ref="H21:H22"/>
    <mergeCell ref="J21:J22"/>
    <mergeCell ref="H31:J31"/>
    <mergeCell ref="H32:H33"/>
    <mergeCell ref="J32:J33"/>
    <mergeCell ref="F43:G43"/>
    <mergeCell ref="B47:G47"/>
    <mergeCell ref="E56:H56"/>
    <mergeCell ref="F35:G35"/>
    <mergeCell ref="F36:G36"/>
    <mergeCell ref="C38:G38"/>
    <mergeCell ref="H40:J40"/>
    <mergeCell ref="H41:H42"/>
    <mergeCell ref="J41:J4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7"/>
  <sheetViews>
    <sheetView topLeftCell="A34" zoomScaleNormal="100" zoomScaleSheetLayoutView="100" workbookViewId="0">
      <selection activeCell="H16" sqref="H16"/>
    </sheetView>
  </sheetViews>
  <sheetFormatPr defaultRowHeight="15" x14ac:dyDescent="0.25"/>
  <cols>
    <col min="1" max="1" width="5.08203125" customWidth="1"/>
    <col min="2" max="2" width="10.58203125" customWidth="1"/>
    <col min="3" max="3" width="13.08203125" customWidth="1"/>
    <col min="4" max="4" width="19.08203125" customWidth="1"/>
    <col min="5" max="5" width="10.75" customWidth="1"/>
    <col min="6" max="6" width="13.75" customWidth="1"/>
    <col min="7" max="7" width="11" customWidth="1"/>
    <col min="8" max="8" width="9" bestFit="1" customWidth="1"/>
    <col min="9" max="9" width="13.08203125" customWidth="1"/>
  </cols>
  <sheetData>
    <row r="1" spans="1:9" ht="18" thickTop="1" x14ac:dyDescent="0.25">
      <c r="A1" s="777" t="s">
        <v>62</v>
      </c>
      <c r="B1" s="105"/>
      <c r="C1" s="105"/>
      <c r="D1" s="105"/>
      <c r="E1" s="105"/>
      <c r="F1" s="105"/>
      <c r="G1" s="105"/>
      <c r="H1" s="797"/>
      <c r="I1" s="106"/>
    </row>
    <row r="2" spans="1:9" ht="15.6" x14ac:dyDescent="0.25">
      <c r="A2" s="149" t="s">
        <v>150</v>
      </c>
      <c r="B2" s="40"/>
      <c r="C2" s="40"/>
      <c r="D2" s="40"/>
      <c r="F2" s="148" t="s">
        <v>585</v>
      </c>
      <c r="G2" s="40"/>
      <c r="I2" s="14"/>
    </row>
    <row r="3" spans="1:9" ht="16.2" thickBot="1" x14ac:dyDescent="0.3">
      <c r="A3" s="2133"/>
      <c r="B3" s="2134"/>
      <c r="C3" s="2134" t="s">
        <v>26</v>
      </c>
      <c r="D3" s="2134"/>
      <c r="E3" s="785">
        <f>'Input Data'!D29</f>
        <v>0</v>
      </c>
      <c r="F3" s="126" t="s">
        <v>204</v>
      </c>
      <c r="G3" s="1183">
        <f>'Input Data'!D7</f>
        <v>0</v>
      </c>
      <c r="H3" s="298"/>
      <c r="I3" s="128"/>
    </row>
    <row r="4" spans="1:9" ht="15.6" thickTop="1" x14ac:dyDescent="0.25">
      <c r="A4" s="156" t="s">
        <v>63</v>
      </c>
      <c r="B4" s="944"/>
      <c r="C4" s="108"/>
      <c r="D4" s="108"/>
      <c r="E4" s="108"/>
      <c r="F4" s="108"/>
      <c r="G4" s="108"/>
      <c r="H4" s="40"/>
      <c r="I4" s="155"/>
    </row>
    <row r="5" spans="1:9" ht="27.6" x14ac:dyDescent="0.25">
      <c r="A5" s="925" t="s">
        <v>362</v>
      </c>
      <c r="B5" s="672" t="s">
        <v>64</v>
      </c>
      <c r="C5" s="861" t="s">
        <v>36</v>
      </c>
      <c r="D5" s="799" t="s">
        <v>20</v>
      </c>
      <c r="E5" s="672"/>
      <c r="F5" s="861" t="s">
        <v>412</v>
      </c>
      <c r="G5" s="861" t="s">
        <v>65</v>
      </c>
      <c r="H5" s="861" t="s">
        <v>316</v>
      </c>
      <c r="I5" s="665" t="s">
        <v>5</v>
      </c>
    </row>
    <row r="6" spans="1:9" x14ac:dyDescent="0.25">
      <c r="A6" s="945"/>
      <c r="B6" s="946"/>
      <c r="C6" s="947"/>
      <c r="D6" s="948"/>
      <c r="E6" s="949"/>
      <c r="F6" s="947"/>
      <c r="G6" s="947"/>
      <c r="H6" s="950"/>
      <c r="I6" s="803">
        <f>G6*H6</f>
        <v>0</v>
      </c>
    </row>
    <row r="7" spans="1:9" x14ac:dyDescent="0.25">
      <c r="A7" s="158"/>
      <c r="B7" s="762"/>
      <c r="C7" s="111"/>
      <c r="D7" s="761"/>
      <c r="E7" s="762"/>
      <c r="F7" s="111"/>
      <c r="G7" s="111"/>
      <c r="H7" s="939"/>
      <c r="I7" s="806">
        <f t="shared" ref="I7:I15" si="0">G7*H7</f>
        <v>0</v>
      </c>
    </row>
    <row r="8" spans="1:9" x14ac:dyDescent="0.25">
      <c r="A8" s="158"/>
      <c r="B8" s="762"/>
      <c r="C8" s="111"/>
      <c r="D8" s="761"/>
      <c r="E8" s="762"/>
      <c r="F8" s="111"/>
      <c r="G8" s="111"/>
      <c r="H8" s="939"/>
      <c r="I8" s="806">
        <f t="shared" si="0"/>
        <v>0</v>
      </c>
    </row>
    <row r="9" spans="1:9" x14ac:dyDescent="0.25">
      <c r="A9" s="158"/>
      <c r="B9" s="762"/>
      <c r="C9" s="111"/>
      <c r="D9" s="761"/>
      <c r="E9" s="762"/>
      <c r="F9" s="111"/>
      <c r="G9" s="111"/>
      <c r="H9" s="939"/>
      <c r="I9" s="806">
        <f t="shared" si="0"/>
        <v>0</v>
      </c>
    </row>
    <row r="10" spans="1:9" x14ac:dyDescent="0.25">
      <c r="A10" s="158"/>
      <c r="B10" s="762"/>
      <c r="C10" s="111"/>
      <c r="D10" s="761"/>
      <c r="E10" s="762"/>
      <c r="F10" s="111"/>
      <c r="G10" s="111"/>
      <c r="H10" s="939"/>
      <c r="I10" s="806">
        <f t="shared" si="0"/>
        <v>0</v>
      </c>
    </row>
    <row r="11" spans="1:9" x14ac:dyDescent="0.25">
      <c r="A11" s="158"/>
      <c r="B11" s="762"/>
      <c r="C11" s="111"/>
      <c r="D11" s="761"/>
      <c r="E11" s="762"/>
      <c r="F11" s="111"/>
      <c r="G11" s="111"/>
      <c r="H11" s="939"/>
      <c r="I11" s="806">
        <f t="shared" si="0"/>
        <v>0</v>
      </c>
    </row>
    <row r="12" spans="1:9" x14ac:dyDescent="0.25">
      <c r="A12" s="158"/>
      <c r="B12" s="762"/>
      <c r="C12" s="111"/>
      <c r="D12" s="761"/>
      <c r="E12" s="762"/>
      <c r="F12" s="111"/>
      <c r="G12" s="111"/>
      <c r="H12" s="939"/>
      <c r="I12" s="806">
        <f t="shared" si="0"/>
        <v>0</v>
      </c>
    </row>
    <row r="13" spans="1:9" x14ac:dyDescent="0.25">
      <c r="A13" s="158"/>
      <c r="B13" s="762"/>
      <c r="C13" s="111"/>
      <c r="D13" s="761"/>
      <c r="E13" s="762"/>
      <c r="F13" s="111"/>
      <c r="G13" s="111"/>
      <c r="H13" s="939"/>
      <c r="I13" s="806">
        <f t="shared" si="0"/>
        <v>0</v>
      </c>
    </row>
    <row r="14" spans="1:9" x14ac:dyDescent="0.25">
      <c r="A14" s="158"/>
      <c r="B14" s="762"/>
      <c r="C14" s="111"/>
      <c r="D14" s="761"/>
      <c r="E14" s="762"/>
      <c r="F14" s="111"/>
      <c r="G14" s="111"/>
      <c r="H14" s="939"/>
      <c r="I14" s="806">
        <f t="shared" si="0"/>
        <v>0</v>
      </c>
    </row>
    <row r="15" spans="1:9" ht="15.6" thickBot="1" x14ac:dyDescent="0.3">
      <c r="A15" s="951"/>
      <c r="B15" s="134"/>
      <c r="C15" s="135"/>
      <c r="D15" s="133"/>
      <c r="E15" s="134"/>
      <c r="F15" s="135"/>
      <c r="G15" s="135"/>
      <c r="H15" s="952"/>
      <c r="I15" s="809">
        <f t="shared" si="0"/>
        <v>0</v>
      </c>
    </row>
    <row r="16" spans="1:9" ht="15.6" thickBot="1" x14ac:dyDescent="0.3">
      <c r="A16" s="209"/>
      <c r="B16" s="136"/>
      <c r="C16" s="136"/>
      <c r="D16" s="136"/>
      <c r="E16" s="136"/>
      <c r="F16" s="136"/>
      <c r="G16" s="136"/>
      <c r="H16" s="137" t="s">
        <v>413</v>
      </c>
      <c r="I16" s="812">
        <f>SUM(I6:I15)</f>
        <v>0</v>
      </c>
    </row>
    <row r="17" spans="1:9" ht="16.2" thickTop="1" thickBot="1" x14ac:dyDescent="0.3">
      <c r="A17" s="142"/>
      <c r="B17" s="127"/>
      <c r="C17" s="127"/>
      <c r="D17" s="127"/>
      <c r="E17" s="127"/>
      <c r="F17" s="127"/>
      <c r="G17" s="127"/>
      <c r="H17" s="122" t="s">
        <v>369</v>
      </c>
      <c r="I17" s="953"/>
    </row>
    <row r="18" spans="1:9" ht="15.6" thickTop="1" x14ac:dyDescent="0.25">
      <c r="A18" s="924"/>
      <c r="B18" s="237"/>
      <c r="C18" s="237"/>
      <c r="D18" s="237"/>
      <c r="E18" s="237"/>
      <c r="F18" s="237"/>
      <c r="G18" s="237"/>
      <c r="H18" s="237"/>
      <c r="I18" s="720"/>
    </row>
    <row r="19" spans="1:9" x14ac:dyDescent="0.25">
      <c r="A19" s="156" t="s">
        <v>66</v>
      </c>
      <c r="B19" s="937"/>
      <c r="C19" s="114"/>
      <c r="D19" s="114"/>
      <c r="E19" s="114"/>
      <c r="F19" s="114"/>
      <c r="G19" s="114"/>
      <c r="H19" s="114"/>
      <c r="I19" s="934"/>
    </row>
    <row r="20" spans="1:9" ht="41.4" x14ac:dyDescent="0.25">
      <c r="A20" s="925" t="s">
        <v>362</v>
      </c>
      <c r="B20" s="673" t="s">
        <v>3</v>
      </c>
      <c r="C20" s="799" t="s">
        <v>36</v>
      </c>
      <c r="D20" s="800"/>
      <c r="E20" s="799" t="s">
        <v>20</v>
      </c>
      <c r="F20" s="800"/>
      <c r="G20" s="861" t="s">
        <v>602</v>
      </c>
      <c r="H20" s="861" t="s">
        <v>414</v>
      </c>
      <c r="I20" s="663" t="s">
        <v>5</v>
      </c>
    </row>
    <row r="21" spans="1:9" x14ac:dyDescent="0.25">
      <c r="A21" s="157"/>
      <c r="B21" s="918"/>
      <c r="C21" s="118"/>
      <c r="D21" s="131"/>
      <c r="E21" s="118"/>
      <c r="F21" s="129"/>
      <c r="G21" s="669"/>
      <c r="H21" s="1276"/>
      <c r="I21" s="954">
        <f t="shared" ref="I21:I30" si="1">G21*H21</f>
        <v>0</v>
      </c>
    </row>
    <row r="22" spans="1:9" x14ac:dyDescent="0.25">
      <c r="A22" s="158"/>
      <c r="B22" s="767"/>
      <c r="C22" s="761"/>
      <c r="D22" s="767"/>
      <c r="E22" s="761"/>
      <c r="F22" s="762"/>
      <c r="G22" s="670"/>
      <c r="H22" s="1258"/>
      <c r="I22" s="955">
        <f t="shared" si="1"/>
        <v>0</v>
      </c>
    </row>
    <row r="23" spans="1:9" x14ac:dyDescent="0.25">
      <c r="A23" s="158"/>
      <c r="B23" s="767"/>
      <c r="C23" s="761"/>
      <c r="D23" s="767"/>
      <c r="E23" s="761"/>
      <c r="F23" s="762"/>
      <c r="G23" s="670"/>
      <c r="H23" s="1258"/>
      <c r="I23" s="955">
        <f t="shared" si="1"/>
        <v>0</v>
      </c>
    </row>
    <row r="24" spans="1:9" x14ac:dyDescent="0.25">
      <c r="A24" s="158"/>
      <c r="B24" s="767"/>
      <c r="C24" s="761"/>
      <c r="D24" s="767"/>
      <c r="E24" s="761"/>
      <c r="F24" s="762"/>
      <c r="G24" s="670"/>
      <c r="H24" s="1258"/>
      <c r="I24" s="955">
        <f t="shared" si="1"/>
        <v>0</v>
      </c>
    </row>
    <row r="25" spans="1:9" x14ac:dyDescent="0.25">
      <c r="A25" s="158"/>
      <c r="B25" s="767"/>
      <c r="C25" s="761"/>
      <c r="D25" s="767"/>
      <c r="E25" s="761"/>
      <c r="F25" s="762"/>
      <c r="G25" s="670"/>
      <c r="H25" s="1258"/>
      <c r="I25" s="955">
        <f t="shared" si="1"/>
        <v>0</v>
      </c>
    </row>
    <row r="26" spans="1:9" x14ac:dyDescent="0.25">
      <c r="A26" s="158"/>
      <c r="B26" s="767"/>
      <c r="C26" s="761"/>
      <c r="D26" s="767"/>
      <c r="E26" s="761"/>
      <c r="F26" s="762"/>
      <c r="G26" s="670"/>
      <c r="H26" s="1258"/>
      <c r="I26" s="955">
        <f t="shared" si="1"/>
        <v>0</v>
      </c>
    </row>
    <row r="27" spans="1:9" x14ac:dyDescent="0.25">
      <c r="A27" s="158"/>
      <c r="B27" s="767"/>
      <c r="C27" s="761"/>
      <c r="D27" s="767"/>
      <c r="E27" s="761"/>
      <c r="F27" s="762"/>
      <c r="G27" s="670"/>
      <c r="H27" s="1258"/>
      <c r="I27" s="955">
        <f t="shared" si="1"/>
        <v>0</v>
      </c>
    </row>
    <row r="28" spans="1:9" x14ac:dyDescent="0.25">
      <c r="A28" s="158"/>
      <c r="B28" s="767"/>
      <c r="C28" s="761"/>
      <c r="D28" s="767"/>
      <c r="E28" s="761"/>
      <c r="F28" s="762"/>
      <c r="G28" s="670"/>
      <c r="H28" s="1258"/>
      <c r="I28" s="955">
        <f t="shared" si="1"/>
        <v>0</v>
      </c>
    </row>
    <row r="29" spans="1:9" x14ac:dyDescent="0.25">
      <c r="A29" s="158"/>
      <c r="B29" s="767"/>
      <c r="C29" s="761"/>
      <c r="D29" s="767"/>
      <c r="E29" s="761"/>
      <c r="F29" s="762"/>
      <c r="G29" s="670"/>
      <c r="H29" s="1258"/>
      <c r="I29" s="955">
        <f t="shared" si="1"/>
        <v>0</v>
      </c>
    </row>
    <row r="30" spans="1:9" ht="15.6" thickBot="1" x14ac:dyDescent="0.3">
      <c r="A30" s="951"/>
      <c r="B30" s="956"/>
      <c r="C30" s="133"/>
      <c r="D30" s="956"/>
      <c r="E30" s="133"/>
      <c r="F30" s="134"/>
      <c r="G30" s="957"/>
      <c r="H30" s="1281"/>
      <c r="I30" s="958">
        <f t="shared" si="1"/>
        <v>0</v>
      </c>
    </row>
    <row r="31" spans="1:9" ht="15.6" thickBot="1" x14ac:dyDescent="0.3">
      <c r="A31" s="209"/>
      <c r="B31" s="136"/>
      <c r="C31" s="136"/>
      <c r="D31" s="136"/>
      <c r="E31" s="136"/>
      <c r="F31" s="136"/>
      <c r="G31" s="136"/>
      <c r="H31" s="1278" t="s">
        <v>415</v>
      </c>
      <c r="I31" s="812">
        <f>SUM(I21:I30)</f>
        <v>0</v>
      </c>
    </row>
    <row r="32" spans="1:9" ht="16.2" thickTop="1" thickBot="1" x14ac:dyDescent="0.3">
      <c r="A32" s="125"/>
      <c r="B32" s="122"/>
      <c r="C32" s="122"/>
      <c r="D32" s="122"/>
      <c r="E32" s="122"/>
      <c r="F32" s="122"/>
      <c r="G32" s="122"/>
      <c r="H32" s="1283" t="s">
        <v>369</v>
      </c>
      <c r="I32" s="959"/>
    </row>
    <row r="33" spans="1:9" ht="15.6" thickTop="1" x14ac:dyDescent="0.25">
      <c r="A33" s="924"/>
      <c r="B33" s="237"/>
      <c r="C33" s="237"/>
      <c r="D33" s="237"/>
      <c r="E33" s="237"/>
      <c r="F33" s="237"/>
      <c r="G33" s="237"/>
      <c r="H33" s="237"/>
      <c r="I33" s="720"/>
    </row>
    <row r="34" spans="1:9" x14ac:dyDescent="0.25">
      <c r="A34" s="156" t="s">
        <v>67</v>
      </c>
      <c r="B34" s="944"/>
      <c r="C34" s="108"/>
      <c r="D34" s="108"/>
      <c r="E34" s="108"/>
      <c r="F34" s="108"/>
      <c r="G34" s="108"/>
      <c r="H34" s="108"/>
      <c r="I34" s="936"/>
    </row>
    <row r="35" spans="1:9" ht="27.6" x14ac:dyDescent="0.25">
      <c r="A35" s="925" t="s">
        <v>362</v>
      </c>
      <c r="B35" s="673" t="s">
        <v>3</v>
      </c>
      <c r="C35" s="764" t="s">
        <v>36</v>
      </c>
      <c r="D35" s="672"/>
      <c r="E35" s="861" t="s">
        <v>68</v>
      </c>
      <c r="F35" s="861" t="s">
        <v>69</v>
      </c>
      <c r="G35" s="861" t="s">
        <v>70</v>
      </c>
      <c r="H35" s="861" t="s">
        <v>318</v>
      </c>
      <c r="I35" s="663" t="s">
        <v>5</v>
      </c>
    </row>
    <row r="36" spans="1:9" x14ac:dyDescent="0.25">
      <c r="A36" s="960"/>
      <c r="B36" s="961"/>
      <c r="C36" s="962"/>
      <c r="D36" s="963"/>
      <c r="E36" s="964"/>
      <c r="F36" s="964"/>
      <c r="G36" s="965"/>
      <c r="H36" s="1284"/>
      <c r="I36" s="966">
        <f>H36*F36</f>
        <v>0</v>
      </c>
    </row>
    <row r="37" spans="1:9" x14ac:dyDescent="0.25">
      <c r="A37" s="158"/>
      <c r="B37" s="767"/>
      <c r="C37" s="761"/>
      <c r="D37" s="762"/>
      <c r="E37" s="967"/>
      <c r="F37" s="967"/>
      <c r="G37" s="111"/>
      <c r="H37" s="1258"/>
      <c r="I37" s="968">
        <f t="shared" ref="I37:I42" si="2">H37*F37</f>
        <v>0</v>
      </c>
    </row>
    <row r="38" spans="1:9" x14ac:dyDescent="0.25">
      <c r="A38" s="158"/>
      <c r="B38" s="767"/>
      <c r="C38" s="761"/>
      <c r="D38" s="762"/>
      <c r="E38" s="967"/>
      <c r="F38" s="967"/>
      <c r="G38" s="111"/>
      <c r="H38" s="1258"/>
      <c r="I38" s="968">
        <f t="shared" si="2"/>
        <v>0</v>
      </c>
    </row>
    <row r="39" spans="1:9" x14ac:dyDescent="0.25">
      <c r="A39" s="158"/>
      <c r="B39" s="767"/>
      <c r="C39" s="761"/>
      <c r="D39" s="762"/>
      <c r="E39" s="967"/>
      <c r="F39" s="967"/>
      <c r="G39" s="111"/>
      <c r="H39" s="1258"/>
      <c r="I39" s="968">
        <f t="shared" si="2"/>
        <v>0</v>
      </c>
    </row>
    <row r="40" spans="1:9" x14ac:dyDescent="0.25">
      <c r="A40" s="158"/>
      <c r="B40" s="767"/>
      <c r="C40" s="761"/>
      <c r="D40" s="762"/>
      <c r="E40" s="967"/>
      <c r="F40" s="967"/>
      <c r="G40" s="111"/>
      <c r="H40" s="1258"/>
      <c r="I40" s="968">
        <f t="shared" si="2"/>
        <v>0</v>
      </c>
    </row>
    <row r="41" spans="1:9" x14ac:dyDescent="0.25">
      <c r="A41" s="158"/>
      <c r="B41" s="767"/>
      <c r="C41" s="761"/>
      <c r="D41" s="762"/>
      <c r="E41" s="967"/>
      <c r="F41" s="967"/>
      <c r="G41" s="111"/>
      <c r="H41" s="1258"/>
      <c r="I41" s="968">
        <f t="shared" si="2"/>
        <v>0</v>
      </c>
    </row>
    <row r="42" spans="1:9" x14ac:dyDescent="0.25">
      <c r="A42" s="158"/>
      <c r="B42" s="767"/>
      <c r="C42" s="761"/>
      <c r="D42" s="762"/>
      <c r="E42" s="967"/>
      <c r="F42" s="967"/>
      <c r="G42" s="111"/>
      <c r="H42" s="1258"/>
      <c r="I42" s="968">
        <f t="shared" si="2"/>
        <v>0</v>
      </c>
    </row>
    <row r="43" spans="1:9" x14ac:dyDescent="0.25">
      <c r="A43" s="158"/>
      <c r="B43" s="767"/>
      <c r="C43" s="761"/>
      <c r="D43" s="762"/>
      <c r="E43" s="967"/>
      <c r="F43" s="967"/>
      <c r="G43" s="111"/>
      <c r="H43" s="1258"/>
      <c r="I43" s="968">
        <f>H43*F43</f>
        <v>0</v>
      </c>
    </row>
    <row r="44" spans="1:9" x14ac:dyDescent="0.25">
      <c r="A44" s="158"/>
      <c r="B44" s="767"/>
      <c r="C44" s="761"/>
      <c r="D44" s="762"/>
      <c r="E44" s="967"/>
      <c r="F44" s="967"/>
      <c r="G44" s="111"/>
      <c r="H44" s="1258"/>
      <c r="I44" s="968">
        <f>H44*F44</f>
        <v>0</v>
      </c>
    </row>
    <row r="45" spans="1:9" ht="15.6" thickBot="1" x14ac:dyDescent="0.3">
      <c r="A45" s="969"/>
      <c r="B45" s="970"/>
      <c r="C45" s="971"/>
      <c r="D45" s="972"/>
      <c r="E45" s="973"/>
      <c r="F45" s="973"/>
      <c r="G45" s="974"/>
      <c r="H45" s="1285"/>
      <c r="I45" s="975">
        <f>H45*F45</f>
        <v>0</v>
      </c>
    </row>
    <row r="46" spans="1:9" ht="15.6" thickBot="1" x14ac:dyDescent="0.3">
      <c r="A46" s="209"/>
      <c r="B46" s="136"/>
      <c r="C46" s="136"/>
      <c r="D46" s="136"/>
      <c r="E46" s="136"/>
      <c r="F46" s="136"/>
      <c r="G46" s="136"/>
      <c r="H46" s="1278" t="s">
        <v>416</v>
      </c>
      <c r="I46" s="976">
        <f>SUM(I36:I45)</f>
        <v>0</v>
      </c>
    </row>
    <row r="47" spans="1:9" ht="16.2" thickTop="1" thickBot="1" x14ac:dyDescent="0.3">
      <c r="A47" s="142"/>
      <c r="B47" s="127"/>
      <c r="C47" s="127"/>
      <c r="D47" s="127"/>
      <c r="E47" s="127"/>
      <c r="F47" s="127"/>
      <c r="G47" s="127"/>
      <c r="H47" s="1283" t="s">
        <v>369</v>
      </c>
      <c r="I47" s="977"/>
    </row>
    <row r="48" spans="1:9" ht="16.2" thickTop="1" thickBot="1" x14ac:dyDescent="0.3">
      <c r="A48" s="161"/>
      <c r="B48" s="40"/>
      <c r="C48" s="40"/>
      <c r="D48" s="40"/>
      <c r="E48" s="40"/>
      <c r="F48" s="40"/>
      <c r="G48" s="40"/>
      <c r="H48" s="124" t="s">
        <v>417</v>
      </c>
      <c r="I48" s="978">
        <f>I16+IF(AND(I31&gt;0,I16&gt;0),0,I31)+I46</f>
        <v>0</v>
      </c>
    </row>
    <row r="49" spans="1:9" ht="16.2" thickTop="1" thickBot="1" x14ac:dyDescent="0.3">
      <c r="A49" s="142"/>
      <c r="B49" s="127"/>
      <c r="C49" s="127"/>
      <c r="D49" s="127"/>
      <c r="E49" s="127"/>
      <c r="F49" s="127"/>
      <c r="G49" s="127"/>
      <c r="H49" s="122" t="s">
        <v>369</v>
      </c>
      <c r="I49" s="979">
        <f>I17+IF(AND(I32&gt;0,I17&gt;0),0,I32)+I47</f>
        <v>0</v>
      </c>
    </row>
    <row r="50" spans="1:9" ht="15.6" thickTop="1" x14ac:dyDescent="0.25">
      <c r="A50" s="161"/>
      <c r="B50" s="40"/>
      <c r="C50" s="40"/>
      <c r="D50" s="40"/>
      <c r="E50" s="40"/>
      <c r="F50" s="40"/>
      <c r="G50" s="40"/>
      <c r="H50" s="813"/>
      <c r="I50" s="980"/>
    </row>
    <row r="51" spans="1:9" x14ac:dyDescent="0.25">
      <c r="A51" s="156" t="s">
        <v>418</v>
      </c>
      <c r="B51" s="981"/>
      <c r="C51" s="108"/>
      <c r="D51" s="108"/>
      <c r="E51" s="108"/>
      <c r="F51" s="108"/>
      <c r="G51" s="108"/>
      <c r="H51" s="933"/>
      <c r="I51" s="936"/>
    </row>
    <row r="52" spans="1:9" ht="27.6" x14ac:dyDescent="0.25">
      <c r="A52" s="925" t="s">
        <v>362</v>
      </c>
      <c r="B52" s="926" t="s">
        <v>3</v>
      </c>
      <c r="C52" s="764" t="s">
        <v>322</v>
      </c>
      <c r="D52" s="982"/>
      <c r="E52" s="861" t="s">
        <v>71</v>
      </c>
      <c r="F52" s="861" t="s">
        <v>72</v>
      </c>
      <c r="G52" s="861" t="s">
        <v>73</v>
      </c>
      <c r="H52" s="862" t="s">
        <v>317</v>
      </c>
      <c r="I52" s="663" t="s">
        <v>39</v>
      </c>
    </row>
    <row r="53" spans="1:9" x14ac:dyDescent="0.25">
      <c r="A53" s="157"/>
      <c r="B53" s="918"/>
      <c r="C53" s="118"/>
      <c r="D53" s="138"/>
      <c r="E53" s="110"/>
      <c r="F53" s="110"/>
      <c r="G53" s="110"/>
      <c r="H53" s="1276"/>
      <c r="I53" s="983">
        <f>H53*G53</f>
        <v>0</v>
      </c>
    </row>
    <row r="54" spans="1:9" x14ac:dyDescent="0.25">
      <c r="A54" s="158"/>
      <c r="B54" s="767"/>
      <c r="C54" s="761"/>
      <c r="D54" s="139"/>
      <c r="E54" s="761"/>
      <c r="F54" s="111"/>
      <c r="G54" s="111"/>
      <c r="H54" s="1258"/>
      <c r="I54" s="983">
        <f t="shared" ref="I54:I62" si="3">H54*G54</f>
        <v>0</v>
      </c>
    </row>
    <row r="55" spans="1:9" x14ac:dyDescent="0.25">
      <c r="A55" s="158"/>
      <c r="B55" s="767"/>
      <c r="C55" s="761"/>
      <c r="D55" s="139"/>
      <c r="E55" s="761"/>
      <c r="F55" s="111"/>
      <c r="G55" s="111"/>
      <c r="H55" s="1258"/>
      <c r="I55" s="983">
        <f t="shared" si="3"/>
        <v>0</v>
      </c>
    </row>
    <row r="56" spans="1:9" x14ac:dyDescent="0.25">
      <c r="A56" s="158"/>
      <c r="B56" s="767"/>
      <c r="C56" s="761"/>
      <c r="D56" s="139"/>
      <c r="E56" s="761"/>
      <c r="F56" s="111"/>
      <c r="G56" s="111"/>
      <c r="H56" s="1258"/>
      <c r="I56" s="983">
        <f t="shared" si="3"/>
        <v>0</v>
      </c>
    </row>
    <row r="57" spans="1:9" x14ac:dyDescent="0.25">
      <c r="A57" s="158"/>
      <c r="B57" s="767"/>
      <c r="C57" s="761"/>
      <c r="D57" s="139"/>
      <c r="E57" s="761"/>
      <c r="F57" s="111"/>
      <c r="G57" s="111"/>
      <c r="H57" s="1258"/>
      <c r="I57" s="983">
        <f t="shared" si="3"/>
        <v>0</v>
      </c>
    </row>
    <row r="58" spans="1:9" x14ac:dyDescent="0.25">
      <c r="A58" s="158"/>
      <c r="B58" s="767"/>
      <c r="C58" s="761"/>
      <c r="D58" s="139"/>
      <c r="E58" s="761"/>
      <c r="F58" s="111"/>
      <c r="G58" s="111"/>
      <c r="H58" s="1258"/>
      <c r="I58" s="983">
        <f t="shared" si="3"/>
        <v>0</v>
      </c>
    </row>
    <row r="59" spans="1:9" x14ac:dyDescent="0.25">
      <c r="A59" s="158"/>
      <c r="B59" s="767"/>
      <c r="C59" s="761"/>
      <c r="D59" s="139"/>
      <c r="E59" s="761"/>
      <c r="F59" s="111"/>
      <c r="G59" s="111"/>
      <c r="H59" s="1258"/>
      <c r="I59" s="983">
        <f t="shared" si="3"/>
        <v>0</v>
      </c>
    </row>
    <row r="60" spans="1:9" x14ac:dyDescent="0.25">
      <c r="A60" s="158"/>
      <c r="B60" s="767"/>
      <c r="C60" s="761"/>
      <c r="D60" s="139"/>
      <c r="E60" s="761"/>
      <c r="F60" s="111"/>
      <c r="G60" s="111"/>
      <c r="H60" s="1258"/>
      <c r="I60" s="983">
        <f t="shared" si="3"/>
        <v>0</v>
      </c>
    </row>
    <row r="61" spans="1:9" x14ac:dyDescent="0.25">
      <c r="A61" s="158"/>
      <c r="B61" s="767"/>
      <c r="C61" s="761"/>
      <c r="D61" s="139"/>
      <c r="E61" s="761"/>
      <c r="F61" s="111"/>
      <c r="G61" s="111"/>
      <c r="H61" s="1258"/>
      <c r="I61" s="983">
        <f t="shared" si="3"/>
        <v>0</v>
      </c>
    </row>
    <row r="62" spans="1:9" ht="15.6" thickBot="1" x14ac:dyDescent="0.3">
      <c r="A62" s="951"/>
      <c r="B62" s="956"/>
      <c r="C62" s="133"/>
      <c r="D62" s="984"/>
      <c r="E62" s="133"/>
      <c r="F62" s="974"/>
      <c r="G62" s="135"/>
      <c r="H62" s="1281"/>
      <c r="I62" s="983">
        <f t="shared" si="3"/>
        <v>0</v>
      </c>
    </row>
    <row r="63" spans="1:9" ht="15.6" thickBot="1" x14ac:dyDescent="0.3">
      <c r="A63" s="209"/>
      <c r="B63" s="136"/>
      <c r="C63" s="136"/>
      <c r="D63" s="136"/>
      <c r="E63" s="136"/>
      <c r="F63" s="985"/>
      <c r="G63" s="136"/>
      <c r="H63" s="1278" t="s">
        <v>419</v>
      </c>
      <c r="I63" s="812">
        <f>SUM(I53:I62)</f>
        <v>0</v>
      </c>
    </row>
    <row r="64" spans="1:9" ht="16.2" thickTop="1" thickBot="1" x14ac:dyDescent="0.3">
      <c r="A64" s="121"/>
      <c r="B64" s="117"/>
      <c r="C64" s="117"/>
      <c r="D64" s="117"/>
      <c r="E64" s="117"/>
      <c r="F64" s="140"/>
      <c r="G64" s="117"/>
      <c r="H64" s="1286" t="s">
        <v>369</v>
      </c>
      <c r="I64" s="987"/>
    </row>
    <row r="65" spans="1:9" x14ac:dyDescent="0.25">
      <c r="A65" s="988"/>
      <c r="B65" s="989"/>
      <c r="C65" s="989"/>
      <c r="D65" s="989"/>
      <c r="E65" s="989"/>
      <c r="F65" s="989"/>
      <c r="G65" s="989"/>
      <c r="H65" s="1287" t="s">
        <v>420</v>
      </c>
      <c r="I65" s="930">
        <f>I48+I63</f>
        <v>0</v>
      </c>
    </row>
    <row r="66" spans="1:9" ht="15.6" thickBot="1" x14ac:dyDescent="0.3">
      <c r="A66" s="125"/>
      <c r="B66" s="122"/>
      <c r="C66" s="122"/>
      <c r="D66" s="122"/>
      <c r="E66" s="122"/>
      <c r="F66" s="122"/>
      <c r="G66" s="122"/>
      <c r="H66" s="1288" t="s">
        <v>369</v>
      </c>
      <c r="I66" s="1289">
        <f>I49+I64</f>
        <v>0</v>
      </c>
    </row>
    <row r="67" spans="1:9" ht="15.6" thickTop="1" x14ac:dyDescent="0.25"/>
  </sheetData>
  <mergeCells count="2">
    <mergeCell ref="A3:B3"/>
    <mergeCell ref="C3:D3"/>
  </mergeCells>
  <phoneticPr fontId="33" type="noConversion"/>
  <printOptions horizontalCentered="1"/>
  <pageMargins left="0.55118110236220474" right="0.55118110236220474" top="0.78740157480314965" bottom="0.78740157480314965" header="0.51181102362204722" footer="0.51181102362204722"/>
  <pageSetup paperSize="9" scale="69" orientation="portrait" horizontalDpi="300" verticalDpi="300" r:id="rId1"/>
  <headerFooter alignWithMargins="0">
    <oddFooter>&amp;L&amp;8&amp;F (Rev 1 of 310805)&amp;C&amp;8&amp;A&amp;R&amp;8PRINT DATE: &amp;D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26"/>
  </sheetPr>
  <dimension ref="A1:L25"/>
  <sheetViews>
    <sheetView zoomScaleNormal="100" zoomScaleSheetLayoutView="75" workbookViewId="0">
      <selection activeCell="A44" sqref="A44:D44"/>
    </sheetView>
  </sheetViews>
  <sheetFormatPr defaultRowHeight="15" x14ac:dyDescent="0.25"/>
  <cols>
    <col min="1" max="1" width="5.4140625" customWidth="1"/>
    <col min="2" max="2" width="9.33203125" customWidth="1"/>
    <col min="6" max="6" width="10" customWidth="1"/>
    <col min="10" max="10" width="12.08203125" customWidth="1"/>
  </cols>
  <sheetData>
    <row r="1" spans="1:12" ht="18" thickTop="1" x14ac:dyDescent="0.25">
      <c r="A1" s="777" t="s">
        <v>75</v>
      </c>
      <c r="B1" s="778"/>
      <c r="C1" s="105"/>
      <c r="D1" s="105"/>
      <c r="E1" s="105"/>
      <c r="F1" s="105"/>
      <c r="G1" s="105"/>
      <c r="H1" s="105"/>
      <c r="I1" s="105"/>
      <c r="J1" s="106"/>
    </row>
    <row r="2" spans="1:12" ht="15.6" x14ac:dyDescent="0.25">
      <c r="A2" s="1192" t="s">
        <v>150</v>
      </c>
      <c r="B2" s="1193"/>
      <c r="C2" s="40"/>
      <c r="D2" s="40"/>
      <c r="E2" s="40"/>
      <c r="F2" s="40"/>
      <c r="G2" s="40"/>
      <c r="H2" s="40"/>
      <c r="I2" s="40"/>
      <c r="J2" s="14"/>
    </row>
    <row r="3" spans="1:12" ht="15.6" x14ac:dyDescent="0.25">
      <c r="A3" s="2137" t="s">
        <v>588</v>
      </c>
      <c r="B3" s="2138"/>
      <c r="C3" s="2138"/>
      <c r="D3" s="1185">
        <f>'Input Data'!D29</f>
        <v>0</v>
      </c>
      <c r="E3" s="40"/>
      <c r="F3" s="2139" t="s">
        <v>363</v>
      </c>
      <c r="G3" s="2140"/>
      <c r="H3" s="1293">
        <f>'Input Data'!D7</f>
        <v>0</v>
      </c>
      <c r="I3" s="40"/>
      <c r="J3" s="14"/>
    </row>
    <row r="4" spans="1:12" ht="15.6" thickBot="1" x14ac:dyDescent="0.3">
      <c r="A4" s="142"/>
      <c r="B4" s="127"/>
      <c r="C4" s="127"/>
      <c r="D4" s="127"/>
      <c r="E4" s="127"/>
      <c r="F4" s="127"/>
      <c r="G4" s="127"/>
      <c r="H4" s="127"/>
      <c r="I4" s="127"/>
      <c r="J4" s="128"/>
    </row>
    <row r="5" spans="1:12" ht="15.6" thickTop="1" x14ac:dyDescent="0.25">
      <c r="A5" s="161"/>
      <c r="B5" s="40"/>
      <c r="C5" s="40"/>
      <c r="D5" s="40"/>
      <c r="E5" s="40"/>
      <c r="F5" s="40"/>
      <c r="G5" s="40"/>
      <c r="H5" s="40"/>
      <c r="I5" s="40"/>
      <c r="J5" s="14"/>
    </row>
    <row r="6" spans="1:12" x14ac:dyDescent="0.25">
      <c r="A6" s="152" t="s">
        <v>76</v>
      </c>
      <c r="B6" s="932"/>
      <c r="C6" s="108"/>
      <c r="D6" s="108"/>
      <c r="E6" s="108"/>
      <c r="F6" s="108"/>
      <c r="G6" s="108"/>
      <c r="H6" s="108"/>
      <c r="I6" s="108"/>
      <c r="J6" s="155"/>
    </row>
    <row r="7" spans="1:12" ht="31.5" customHeight="1" x14ac:dyDescent="0.25">
      <c r="A7" s="925" t="s">
        <v>362</v>
      </c>
      <c r="B7" s="1194" t="s">
        <v>3</v>
      </c>
      <c r="C7" s="2141" t="s">
        <v>591</v>
      </c>
      <c r="D7" s="2142"/>
      <c r="E7" s="2143"/>
      <c r="F7" s="1195" t="s">
        <v>77</v>
      </c>
      <c r="G7" s="2141" t="s">
        <v>322</v>
      </c>
      <c r="H7" s="2142"/>
      <c r="I7" s="2143"/>
      <c r="J7" s="1196" t="s">
        <v>39</v>
      </c>
    </row>
    <row r="8" spans="1:12" x14ac:dyDescent="0.25">
      <c r="A8" s="218"/>
      <c r="B8" s="1197"/>
      <c r="C8" s="2117"/>
      <c r="D8" s="2144"/>
      <c r="E8" s="2118"/>
      <c r="F8" s="144"/>
      <c r="G8" s="2117"/>
      <c r="H8" s="2144"/>
      <c r="I8" s="2118"/>
      <c r="J8" s="1205"/>
    </row>
    <row r="9" spans="1:12" x14ac:dyDescent="0.25">
      <c r="A9" s="158"/>
      <c r="B9" s="1009"/>
      <c r="C9" s="2106"/>
      <c r="D9" s="2135"/>
      <c r="E9" s="2107"/>
      <c r="F9" s="111"/>
      <c r="G9" s="2106"/>
      <c r="H9" s="2135"/>
      <c r="I9" s="2107"/>
      <c r="J9" s="896"/>
    </row>
    <row r="10" spans="1:12" x14ac:dyDescent="0.25">
      <c r="A10" s="158"/>
      <c r="B10" s="1009"/>
      <c r="C10" s="2106"/>
      <c r="D10" s="2135"/>
      <c r="E10" s="2107"/>
      <c r="F10" s="111"/>
      <c r="G10" s="2106"/>
      <c r="H10" s="2135"/>
      <c r="I10" s="2107"/>
      <c r="J10" s="896"/>
    </row>
    <row r="11" spans="1:12" x14ac:dyDescent="0.25">
      <c r="A11" s="158"/>
      <c r="B11" s="1009"/>
      <c r="C11" s="2106"/>
      <c r="D11" s="2135"/>
      <c r="E11" s="2107"/>
      <c r="F11" s="111"/>
      <c r="G11" s="2106"/>
      <c r="H11" s="2135"/>
      <c r="I11" s="2107"/>
      <c r="J11" s="896"/>
    </row>
    <row r="12" spans="1:12" x14ac:dyDescent="0.25">
      <c r="A12" s="158"/>
      <c r="B12" s="1009"/>
      <c r="C12" s="2106"/>
      <c r="D12" s="2135"/>
      <c r="E12" s="2107"/>
      <c r="F12" s="111"/>
      <c r="G12" s="2106"/>
      <c r="H12" s="2135"/>
      <c r="I12" s="2107"/>
      <c r="J12" s="896"/>
    </row>
    <row r="13" spans="1:12" x14ac:dyDescent="0.25">
      <c r="A13" s="158"/>
      <c r="B13" s="1009"/>
      <c r="C13" s="2106"/>
      <c r="D13" s="2135"/>
      <c r="E13" s="2107"/>
      <c r="F13" s="111"/>
      <c r="G13" s="2106"/>
      <c r="H13" s="2135"/>
      <c r="I13" s="2107"/>
      <c r="J13" s="896"/>
      <c r="L13" s="338"/>
    </row>
    <row r="14" spans="1:12" x14ac:dyDescent="0.25">
      <c r="A14" s="158"/>
      <c r="B14" s="1009"/>
      <c r="C14" s="2106"/>
      <c r="D14" s="2135"/>
      <c r="E14" s="2107"/>
      <c r="F14" s="111"/>
      <c r="G14" s="2106"/>
      <c r="H14" s="2135"/>
      <c r="I14" s="2107"/>
      <c r="J14" s="896"/>
    </row>
    <row r="15" spans="1:12" x14ac:dyDescent="0.25">
      <c r="A15" s="158"/>
      <c r="B15" s="1009"/>
      <c r="C15" s="2106"/>
      <c r="D15" s="2135"/>
      <c r="E15" s="2107"/>
      <c r="F15" s="111"/>
      <c r="G15" s="2106"/>
      <c r="H15" s="2135"/>
      <c r="I15" s="2107"/>
      <c r="J15" s="896"/>
    </row>
    <row r="16" spans="1:12" x14ac:dyDescent="0.25">
      <c r="A16" s="158"/>
      <c r="B16" s="1009"/>
      <c r="C16" s="2106"/>
      <c r="D16" s="2135"/>
      <c r="E16" s="2107"/>
      <c r="F16" s="111"/>
      <c r="G16" s="2106"/>
      <c r="H16" s="2135"/>
      <c r="I16" s="2107"/>
      <c r="J16" s="896"/>
    </row>
    <row r="17" spans="1:10" ht="15.6" thickBot="1" x14ac:dyDescent="0.3">
      <c r="A17" s="205"/>
      <c r="B17" s="1008"/>
      <c r="C17" s="2108"/>
      <c r="D17" s="2136"/>
      <c r="E17" s="2109"/>
      <c r="F17" s="145"/>
      <c r="G17" s="2108"/>
      <c r="H17" s="2136"/>
      <c r="I17" s="2109"/>
      <c r="J17" s="1206"/>
    </row>
    <row r="18" spans="1:10" x14ac:dyDescent="0.25">
      <c r="A18" s="209"/>
      <c r="B18" s="136"/>
      <c r="C18" s="136"/>
      <c r="D18" s="136"/>
      <c r="E18" s="136"/>
      <c r="F18" s="136"/>
      <c r="G18" s="202"/>
      <c r="H18" s="202"/>
      <c r="I18" s="113" t="s">
        <v>589</v>
      </c>
      <c r="J18" s="930">
        <f>SUM(J8:J17)</f>
        <v>0</v>
      </c>
    </row>
    <row r="19" spans="1:10" ht="15.6" thickBot="1" x14ac:dyDescent="0.3">
      <c r="A19" s="161"/>
      <c r="B19" s="40"/>
      <c r="C19" s="40"/>
      <c r="D19" s="40"/>
      <c r="E19" s="40"/>
      <c r="F19" s="40"/>
      <c r="G19" s="40"/>
      <c r="H19" s="40"/>
      <c r="I19" s="1198" t="s">
        <v>312</v>
      </c>
      <c r="J19" s="1207"/>
    </row>
    <row r="20" spans="1:10" ht="15.6" thickBot="1" x14ac:dyDescent="0.3">
      <c r="A20" s="161"/>
      <c r="B20" s="40"/>
      <c r="C20" s="40"/>
      <c r="D20" s="40"/>
      <c r="E20" s="40"/>
      <c r="F20" s="40"/>
      <c r="G20" s="40"/>
      <c r="H20" s="40"/>
      <c r="I20" s="986" t="s">
        <v>313</v>
      </c>
      <c r="J20" s="1208">
        <f>J18-J19</f>
        <v>0</v>
      </c>
    </row>
    <row r="21" spans="1:10" x14ac:dyDescent="0.25">
      <c r="A21" s="1199" t="s">
        <v>80</v>
      </c>
      <c r="B21" s="1200"/>
      <c r="C21" s="1201"/>
      <c r="D21" s="1201"/>
      <c r="E21" s="1201"/>
      <c r="F21" s="1201"/>
      <c r="G21" s="1201"/>
      <c r="H21" s="1201"/>
      <c r="I21" s="1201"/>
      <c r="J21" s="1202"/>
    </row>
    <row r="22" spans="1:10" x14ac:dyDescent="0.25">
      <c r="A22" s="1006" t="s">
        <v>81</v>
      </c>
      <c r="B22" s="1007"/>
      <c r="C22" s="40" t="s">
        <v>78</v>
      </c>
      <c r="D22" s="40"/>
      <c r="E22" s="1007" t="s">
        <v>82</v>
      </c>
      <c r="F22" s="40" t="s">
        <v>79</v>
      </c>
      <c r="G22" s="1007"/>
      <c r="H22" s="147" t="s">
        <v>83</v>
      </c>
      <c r="I22" s="40"/>
      <c r="J22" s="1203"/>
    </row>
    <row r="23" spans="1:10" x14ac:dyDescent="0.25">
      <c r="A23" s="1006" t="s">
        <v>84</v>
      </c>
      <c r="B23" s="1007"/>
      <c r="C23" s="40" t="s">
        <v>85</v>
      </c>
      <c r="D23" s="40"/>
      <c r="E23" s="1007" t="s">
        <v>86</v>
      </c>
      <c r="F23" s="40" t="s">
        <v>87</v>
      </c>
      <c r="G23" s="1007"/>
      <c r="H23" s="1007" t="s">
        <v>88</v>
      </c>
      <c r="I23" s="40"/>
      <c r="J23" s="1203"/>
    </row>
    <row r="24" spans="1:10" ht="15.6" thickBot="1" x14ac:dyDescent="0.3">
      <c r="A24" s="142"/>
      <c r="B24" s="127"/>
      <c r="C24" s="127"/>
      <c r="D24" s="127"/>
      <c r="E24" s="127"/>
      <c r="F24" s="127"/>
      <c r="G24" s="127"/>
      <c r="H24" s="127"/>
      <c r="I24" s="127"/>
      <c r="J24" s="1204"/>
    </row>
    <row r="25" spans="1:10" ht="15.6" thickTop="1" x14ac:dyDescent="0.25"/>
  </sheetData>
  <mergeCells count="24">
    <mergeCell ref="A3:C3"/>
    <mergeCell ref="F3:G3"/>
    <mergeCell ref="C7:E7"/>
    <mergeCell ref="G7:I7"/>
    <mergeCell ref="C8:E8"/>
    <mergeCell ref="G8:I8"/>
    <mergeCell ref="C12:E12"/>
    <mergeCell ref="G12:I12"/>
    <mergeCell ref="C13:E13"/>
    <mergeCell ref="G13:I13"/>
    <mergeCell ref="C14:E14"/>
    <mergeCell ref="G14:I14"/>
    <mergeCell ref="C15:E15"/>
    <mergeCell ref="G15:I15"/>
    <mergeCell ref="C16:E16"/>
    <mergeCell ref="G16:I16"/>
    <mergeCell ref="C17:E17"/>
    <mergeCell ref="G17:I17"/>
    <mergeCell ref="G9:I9"/>
    <mergeCell ref="C10:E10"/>
    <mergeCell ref="G10:I10"/>
    <mergeCell ref="C11:E11"/>
    <mergeCell ref="G11:I11"/>
    <mergeCell ref="C9:E9"/>
  </mergeCells>
  <phoneticPr fontId="33"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310805)&amp;C&amp;8&amp;A&amp;R&amp;8PRINT DATE: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Invoice Engineering Project</vt:lpstr>
      <vt:lpstr>Invoice Multidiscipl Project </vt:lpstr>
      <vt:lpstr>Scales</vt:lpstr>
      <vt:lpstr>Previous Claims</vt:lpstr>
      <vt:lpstr>Time Based</vt:lpstr>
      <vt:lpstr>Trip Sheet</vt:lpstr>
      <vt:lpstr>Subsistance &amp; Travelling</vt:lpstr>
      <vt:lpstr>Typing, Duplicating, &amp; Printing</vt:lpstr>
      <vt:lpstr>Summary A3</vt:lpstr>
      <vt:lpstr>Site staff &amp; Other</vt:lpstr>
      <vt:lpstr>Non Taxable</vt:lpstr>
      <vt:lpstr>'Input Data'!Print_Area</vt:lpstr>
      <vt:lpstr>'Invoice Engineering Project'!Print_Area</vt:lpstr>
      <vt:lpstr>'Invoice Multidiscipl Project '!Print_Area</vt:lpstr>
      <vt:lpstr>Notes!Print_Area</vt:lpstr>
      <vt:lpstr>'Site staff &amp; Other'!Print_Area</vt:lpstr>
      <vt:lpstr>'Subsistance &amp; Travelling'!Print_Area</vt:lpstr>
      <vt:lpstr>'Time Based'!Print_Area</vt:lpstr>
      <vt:lpstr>'Typing, Duplicating, &amp; Printing'!Print_Area</vt:lpstr>
      <vt:lpstr>'Worked Example'!Print_Area</vt:lpstr>
      <vt:lpstr>'Invoice Engineering Project'!Print_Titles</vt:lpstr>
      <vt:lpstr>'Invoice Multidiscipl Project '!Print_Titles</vt:lpstr>
      <vt:lpstr>SCALE_MB</vt:lpstr>
      <vt:lpstr>SCALE_ME</vt:lpstr>
    </vt:vector>
  </TitlesOfParts>
  <Company>PWD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BEAURAIN</dc:creator>
  <cp:lastModifiedBy>Phafane Thobejane</cp:lastModifiedBy>
  <cp:lastPrinted>2017-07-05T12:51:33Z</cp:lastPrinted>
  <dcterms:created xsi:type="dcterms:W3CDTF">2000-04-06T11:32:49Z</dcterms:created>
  <dcterms:modified xsi:type="dcterms:W3CDTF">2020-12-08T11:38:00Z</dcterms:modified>
</cp:coreProperties>
</file>